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7620" tabRatio="719" activeTab="0"/>
  </bookViews>
  <sheets>
    <sheet name="2024 NOPS Calculator" sheetId="1" r:id="rId1"/>
    <sheet name="Calculation Data" sheetId="2" state="hidden" r:id="rId2"/>
    <sheet name="NOPS Data" sheetId="3" state="hidden" r:id="rId3"/>
  </sheets>
  <definedNames>
    <definedName name="_xlfn.SINGLE" hidden="1">#NAME?</definedName>
    <definedName name="Data_Key">'NOPS Data'!$A$2</definedName>
    <definedName name="Div_List">'NOPS Data'!$A$2:$A$110</definedName>
    <definedName name="Div_Row">'Calculation Data'!$C$3</definedName>
    <definedName name="Division">'Calculation Data'!$C$2</definedName>
    <definedName name="Input_List">'Calculation Data'!$A$2:$A$37</definedName>
    <definedName name="JMP_Exp">'Calculation Data'!$G$8</definedName>
    <definedName name="JMP_Recd">'Calculation Data'!$D$8</definedName>
    <definedName name="Jump">'2024 NOPS Calculator'!$E$12:$G$12</definedName>
    <definedName name="Jump_Score">'2024 NOPS Calculator'!$E$6</definedName>
    <definedName name="NOPS_List">'Calculation Data'!$A$2:$A$35</definedName>
    <definedName name="OA_Actual">'Calculation Data'!$H$10</definedName>
    <definedName name="OA_Reqd">'Calculation Data'!$H$12</definedName>
    <definedName name="OARatings">'2024 NOPS Calculator'!$G$9:$G$9</definedName>
    <definedName name="Overall">'2024 NOPS Calculator'!#REF!</definedName>
    <definedName name="Overall_Score">'2024 NOPS Calculator'!$F$7</definedName>
    <definedName name="Ratings">'2024 NOPS Calculator'!$E$9:$G$9</definedName>
    <definedName name="Slalom">'2024 NOPS Calculator'!$E$10:$G$10</definedName>
    <definedName name="Slalom_Score">'2024 NOPS Calculator'!$E$4</definedName>
    <definedName name="SLM_Exp">'Calculation Data'!$G$5</definedName>
    <definedName name="SLM_Pts">'Calculation Data'!$F$5</definedName>
    <definedName name="Slm_Recd">'Calculation Data'!$D$5</definedName>
    <definedName name="Trick">'2024 NOPS Calculator'!$E$11:$G$11</definedName>
    <definedName name="Trick_Score">'2024 NOPS Calculator'!$E$5</definedName>
    <definedName name="TRK_Exp">'Calculation Data'!$G$7</definedName>
    <definedName name="Trk_Recd">'Calculation Data'!$D$7</definedName>
  </definedNames>
  <calcPr fullCalcOnLoad="1"/>
</workbook>
</file>

<file path=xl/sharedStrings.xml><?xml version="1.0" encoding="utf-8"?>
<sst xmlns="http://schemas.openxmlformats.org/spreadsheetml/2006/main" count="295" uniqueCount="69">
  <si>
    <t>Division</t>
  </si>
  <si>
    <t>Score</t>
  </si>
  <si>
    <t>NOPS</t>
  </si>
  <si>
    <t>A  W  S  A</t>
  </si>
  <si>
    <t>Slalom</t>
  </si>
  <si>
    <t>Trick</t>
  </si>
  <si>
    <t>Ski Year</t>
  </si>
  <si>
    <t xml:space="preserve">Overall </t>
  </si>
  <si>
    <r>
      <t xml:space="preserve">Overall  </t>
    </r>
    <r>
      <rPr>
        <b/>
        <sz val="8"/>
        <rFont val="Arial"/>
        <family val="2"/>
      </rPr>
      <t>(NOPS)</t>
    </r>
    <r>
      <rPr>
        <b/>
        <sz val="10"/>
        <rFont val="Arial"/>
        <family val="2"/>
      </rPr>
      <t xml:space="preserve">      </t>
    </r>
  </si>
  <si>
    <t>Event</t>
  </si>
  <si>
    <t>Median</t>
  </si>
  <si>
    <t>Record</t>
  </si>
  <si>
    <t xml:space="preserve">   Calculator    </t>
  </si>
  <si>
    <t xml:space="preserve">    Records as of</t>
  </si>
  <si>
    <t>Div List</t>
  </si>
  <si>
    <t>NOPS Calculation Table for Selected Division</t>
  </si>
  <si>
    <t>B1</t>
  </si>
  <si>
    <t>Division =</t>
  </si>
  <si>
    <t>Base</t>
  </si>
  <si>
    <t>Exp</t>
  </si>
  <si>
    <t>Ev Sc?</t>
  </si>
  <si>
    <t>B2</t>
  </si>
  <si>
    <t>Div_Row =</t>
  </si>
  <si>
    <t>0/1</t>
  </si>
  <si>
    <t>B3</t>
  </si>
  <si>
    <t>G1</t>
  </si>
  <si>
    <t>G2</t>
  </si>
  <si>
    <t>G3</t>
  </si>
  <si>
    <t>O/A</t>
  </si>
  <si>
    <t xml:space="preserve">  # Ev w/Scrs =</t>
  </si>
  <si>
    <t>M1</t>
  </si>
  <si>
    <t xml:space="preserve">  # Ev for O/A =</t>
  </si>
  <si>
    <t>M2</t>
  </si>
  <si>
    <t>M3</t>
  </si>
  <si>
    <t>M4</t>
  </si>
  <si>
    <t>M5</t>
  </si>
  <si>
    <t>M6</t>
  </si>
  <si>
    <t>M7</t>
  </si>
  <si>
    <t>M8</t>
  </si>
  <si>
    <t>M9</t>
  </si>
  <si>
    <t>MA</t>
  </si>
  <si>
    <t>MB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</si>
  <si>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</si>
  <si>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</si>
  <si>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</si>
  <si>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</si>
  <si>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</si>
  <si>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</si>
  <si>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</si>
  <si>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</si>
  <si>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</si>
  <si>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WA</t>
  </si>
  <si>
    <t>WB</t>
  </si>
  <si>
    <t>OM</t>
  </si>
  <si>
    <t>OW</t>
  </si>
  <si>
    <t>MM</t>
  </si>
  <si>
    <t>Rating Levels</t>
  </si>
  <si>
    <t>Overall Factors</t>
  </si>
  <si>
    <t># Evts</t>
  </si>
  <si>
    <t>Req'd</t>
  </si>
  <si>
    <t>S</t>
  </si>
  <si>
    <t>T</t>
  </si>
  <si>
    <t>J</t>
  </si>
  <si>
    <t>MW</t>
  </si>
  <si>
    <t>B4</t>
  </si>
  <si>
    <t>G4</t>
  </si>
  <si>
    <t>B5</t>
  </si>
  <si>
    <t>G5</t>
  </si>
  <si>
    <t>January 5, 2024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</si>
</sst>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</numFmts>
  <fonts count="2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Segoe U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15" fillId="16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73" fontId="0" fillId="4" borderId="12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4" borderId="17" xfId="0" applyFill="1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/>
      <protection/>
    </xf>
    <xf numFmtId="0" fontId="0" fillId="4" borderId="19" xfId="0" applyFill="1" applyBorder="1" applyAlignment="1">
      <alignment horizontal="center"/>
    </xf>
    <xf numFmtId="0" fontId="0" fillId="4" borderId="16" xfId="0" applyFill="1" applyBorder="1" applyAlignment="1" applyProtection="1">
      <alignment horizontal="center"/>
      <protection/>
    </xf>
    <xf numFmtId="0" fontId="0" fillId="4" borderId="16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0" xfId="0" applyFont="1" applyBorder="1" applyAlignment="1" applyProtection="1">
      <alignment horizontal="right"/>
      <protection/>
    </xf>
    <xf numFmtId="0" fontId="0" fillId="0" borderId="16" xfId="0" applyBorder="1" applyAlignment="1" applyProtection="1">
      <alignment horizontal="center"/>
      <protection hidden="1" locked="0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173" fontId="0" fillId="4" borderId="25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73" fontId="0" fillId="0" borderId="0" xfId="0" applyNumberFormat="1" applyAlignment="1">
      <alignment/>
    </xf>
    <xf numFmtId="173" fontId="4" fillId="0" borderId="0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center"/>
      <protection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7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73" fontId="0" fillId="0" borderId="0" xfId="0" applyNumberFormat="1" applyFont="1" applyAlignment="1">
      <alignment/>
    </xf>
    <xf numFmtId="173" fontId="4" fillId="0" borderId="13" xfId="0" applyNumberFormat="1" applyFon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0" fontId="0" fillId="4" borderId="28" xfId="0" applyFill="1" applyBorder="1" applyAlignment="1">
      <alignment horizontal="left"/>
    </xf>
    <xf numFmtId="0" fontId="0" fillId="4" borderId="36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1" fillId="0" borderId="20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173" fontId="0" fillId="0" borderId="13" xfId="0" applyNumberForma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73" fontId="0" fillId="0" borderId="13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3" fillId="0" borderId="13" xfId="0" applyFont="1" applyBorder="1" applyAlignment="1">
      <alignment horizontal="center"/>
    </xf>
    <xf numFmtId="0" fontId="23" fillId="0" borderId="13" xfId="0" applyNumberFormat="1" applyFont="1" applyFill="1" applyBorder="1" applyAlignment="1">
      <alignment horizontal="center"/>
    </xf>
    <xf numFmtId="0" fontId="0" fillId="18" borderId="40" xfId="0" applyFill="1" applyBorder="1" applyAlignment="1">
      <alignment/>
    </xf>
    <xf numFmtId="0" fontId="0" fillId="18" borderId="41" xfId="0" applyFill="1" applyBorder="1" applyAlignment="1">
      <alignment/>
    </xf>
    <xf numFmtId="0" fontId="0" fillId="18" borderId="42" xfId="0" applyFill="1" applyBorder="1" applyAlignment="1">
      <alignment/>
    </xf>
    <xf numFmtId="0" fontId="0" fillId="18" borderId="43" xfId="0" applyFill="1" applyBorder="1" applyAlignment="1">
      <alignment/>
    </xf>
    <xf numFmtId="0" fontId="0" fillId="18" borderId="0" xfId="0" applyFill="1" applyBorder="1" applyAlignment="1">
      <alignment/>
    </xf>
    <xf numFmtId="0" fontId="1" fillId="18" borderId="0" xfId="0" applyFont="1" applyFill="1" applyBorder="1" applyAlignment="1">
      <alignment/>
    </xf>
    <xf numFmtId="0" fontId="0" fillId="18" borderId="44" xfId="0" applyFill="1" applyBorder="1" applyAlignment="1">
      <alignment/>
    </xf>
    <xf numFmtId="0" fontId="0" fillId="18" borderId="45" xfId="0" applyFill="1" applyBorder="1" applyAlignment="1">
      <alignment/>
    </xf>
    <xf numFmtId="0" fontId="0" fillId="18" borderId="46" xfId="0" applyFill="1" applyBorder="1" applyAlignment="1">
      <alignment/>
    </xf>
    <xf numFmtId="0" fontId="0" fillId="18" borderId="47" xfId="0" applyFill="1" applyBorder="1" applyAlignment="1">
      <alignment/>
    </xf>
    <xf numFmtId="0" fontId="1" fillId="18" borderId="0" xfId="0" applyFont="1" applyFill="1" applyBorder="1" applyAlignment="1">
      <alignment horizontal="centerContinuous"/>
    </xf>
    <xf numFmtId="0" fontId="0" fillId="18" borderId="0" xfId="0" applyFill="1" applyBorder="1" applyAlignment="1">
      <alignment horizontal="center"/>
    </xf>
    <xf numFmtId="0" fontId="6" fillId="18" borderId="0" xfId="0" applyFont="1" applyFill="1" applyBorder="1" applyAlignment="1">
      <alignment/>
    </xf>
    <xf numFmtId="0" fontId="6" fillId="18" borderId="0" xfId="0" applyFont="1" applyFill="1" applyBorder="1" applyAlignment="1">
      <alignment vertical="top"/>
    </xf>
    <xf numFmtId="49" fontId="0" fillId="0" borderId="0" xfId="0" applyNumberFormat="1" applyFont="1" applyAlignment="1">
      <alignment horizontal="center"/>
    </xf>
    <xf numFmtId="0" fontId="23" fillId="0" borderId="0" xfId="0" applyNumberFormat="1" applyFont="1" applyFill="1" applyAlignment="1">
      <alignment horizontal="center"/>
    </xf>
    <xf numFmtId="0" fontId="0" fillId="0" borderId="13" xfId="0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13" xfId="0" applyFont="1" applyFill="1" applyBorder="1" applyAlignment="1">
      <alignment horizontal="center"/>
    </xf>
    <xf numFmtId="15" fontId="6" fillId="18" borderId="0" xfId="0" applyNumberFormat="1" applyFont="1" applyFill="1" applyBorder="1" applyAlignment="1" quotePrefix="1">
      <alignment vertical="top"/>
    </xf>
    <xf numFmtId="0" fontId="1" fillId="0" borderId="0" xfId="0" applyFont="1" applyFill="1" applyBorder="1" applyAlignment="1">
      <alignment horizontal="centerContinuous"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18" borderId="0" xfId="0" applyFill="1" applyAlignment="1">
      <alignment/>
    </xf>
    <xf numFmtId="49" fontId="0" fillId="0" borderId="0" xfId="0" applyNumberFormat="1" applyFont="1" applyAlignment="1">
      <alignment horizontal="center"/>
    </xf>
    <xf numFmtId="0" fontId="0" fillId="0" borderId="16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0" fontId="23" fillId="19" borderId="0" xfId="0" applyNumberFormat="1" applyFont="1" applyFill="1" applyAlignment="1">
      <alignment horizontal="center"/>
    </xf>
    <xf numFmtId="0" fontId="0" fillId="19" borderId="0" xfId="0" applyFill="1" applyAlignment="1">
      <alignment horizontal="center"/>
    </xf>
    <xf numFmtId="173" fontId="0" fillId="19" borderId="0" xfId="0" applyNumberFormat="1" applyFill="1" applyAlignment="1">
      <alignment horizontal="center"/>
    </xf>
    <xf numFmtId="1" fontId="0" fillId="19" borderId="0" xfId="0" applyNumberFormat="1" applyFill="1" applyAlignment="1">
      <alignment horizontal="center"/>
    </xf>
    <xf numFmtId="0" fontId="0" fillId="19" borderId="13" xfId="0" applyFill="1" applyBorder="1" applyAlignment="1">
      <alignment horizontal="center"/>
    </xf>
    <xf numFmtId="0" fontId="23" fillId="19" borderId="13" xfId="0" applyNumberFormat="1" applyFont="1" applyFill="1" applyBorder="1" applyAlignment="1">
      <alignment horizontal="center"/>
    </xf>
    <xf numFmtId="173" fontId="0" fillId="19" borderId="13" xfId="0" applyNumberFormat="1" applyFill="1" applyBorder="1" applyAlignment="1">
      <alignment horizontal="center"/>
    </xf>
    <xf numFmtId="0" fontId="0" fillId="19" borderId="0" xfId="0" applyFill="1" applyBorder="1" applyAlignment="1">
      <alignment horizontal="center"/>
    </xf>
    <xf numFmtId="0" fontId="0" fillId="19" borderId="0" xfId="0" applyFill="1" applyAlignment="1">
      <alignment/>
    </xf>
    <xf numFmtId="0" fontId="0" fillId="19" borderId="13" xfId="0" applyFill="1" applyBorder="1" applyAlignment="1">
      <alignment/>
    </xf>
    <xf numFmtId="2" fontId="0" fillId="0" borderId="11" xfId="0" applyNumberFormat="1" applyBorder="1" applyAlignment="1">
      <alignment/>
    </xf>
    <xf numFmtId="0" fontId="0" fillId="19" borderId="0" xfId="0" applyFont="1" applyFill="1" applyAlignment="1">
      <alignment horizontal="center"/>
    </xf>
    <xf numFmtId="0" fontId="0" fillId="19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0"/>
  <sheetViews>
    <sheetView showGridLines="0" tabSelected="1" zoomScalePageLayoutView="0" workbookViewId="0" topLeftCell="A1">
      <selection activeCell="E5" sqref="E5"/>
    </sheetView>
  </sheetViews>
  <sheetFormatPr defaultColWidth="9.140625" defaultRowHeight="12.75"/>
  <cols>
    <col min="1" max="1" width="0.85546875" style="0" customWidth="1"/>
    <col min="2" max="2" width="2.57421875" style="0" customWidth="1"/>
    <col min="3" max="3" width="7.421875" style="0" customWidth="1"/>
    <col min="4" max="6" width="7.57421875" style="0" customWidth="1"/>
    <col min="7" max="7" width="3.57421875" style="0" customWidth="1"/>
    <col min="8" max="8" width="2.57421875" style="0" customWidth="1"/>
    <col min="9" max="10" width="7.421875" style="0" customWidth="1"/>
    <col min="11" max="13" width="2.57421875" style="0" customWidth="1"/>
  </cols>
  <sheetData>
    <row r="1" ht="4.5" customHeight="1" thickBot="1"/>
    <row r="2" spans="2:10" ht="14.25" thickBot="1" thickTop="1">
      <c r="B2" s="72"/>
      <c r="C2" s="73"/>
      <c r="D2" s="73"/>
      <c r="E2" s="73"/>
      <c r="F2" s="73"/>
      <c r="G2" s="73"/>
      <c r="H2" s="73"/>
      <c r="I2" s="73"/>
      <c r="J2" s="74"/>
    </row>
    <row r="3" spans="2:10" ht="12.75">
      <c r="B3" s="68"/>
      <c r="C3" s="16" t="s">
        <v>0</v>
      </c>
      <c r="D3" s="14"/>
      <c r="E3" s="14" t="s">
        <v>1</v>
      </c>
      <c r="F3" s="17" t="s">
        <v>2</v>
      </c>
      <c r="G3" s="69"/>
      <c r="H3" s="69"/>
      <c r="I3" s="75" t="s">
        <v>3</v>
      </c>
      <c r="J3" s="71"/>
    </row>
    <row r="4" spans="2:10" ht="12.75">
      <c r="B4" s="68"/>
      <c r="C4" s="24">
        <v>15</v>
      </c>
      <c r="D4" s="4" t="s">
        <v>4</v>
      </c>
      <c r="E4" s="15">
        <v>90</v>
      </c>
      <c r="F4" s="5">
        <f>INT(0.5+10*IF(Slalom_Score&lt;6,(Slalom_Score*SLM_Pts),(6*SLM_Pts)+((1500-(6*SLM_Pts))*((Slalom_Score-6)/(Slm_Recd-6))^SLM_Exp)))/10</f>
        <v>554.7</v>
      </c>
      <c r="G4" s="69"/>
      <c r="H4" s="69"/>
      <c r="I4" s="69"/>
      <c r="J4" s="71"/>
    </row>
    <row r="5" spans="2:10" ht="12.75">
      <c r="B5" s="68"/>
      <c r="C5" s="18"/>
      <c r="D5" s="4" t="s">
        <v>5</v>
      </c>
      <c r="E5" s="61">
        <v>2750</v>
      </c>
      <c r="F5" s="5">
        <f>INT(0.5+15000*((Trick_Score/Trk_Recd)^TRK_Exp))/10</f>
        <v>917.6</v>
      </c>
      <c r="G5" s="69"/>
      <c r="H5" s="69"/>
      <c r="I5" s="75" t="s">
        <v>6</v>
      </c>
      <c r="J5" s="71"/>
    </row>
    <row r="6" spans="2:10" ht="12.75">
      <c r="B6" s="68"/>
      <c r="C6" s="19"/>
      <c r="D6" s="4" t="str">
        <f>IF(OR(Division="B1",Division="G1"),"--","Jump")</f>
        <v>Jump</v>
      </c>
      <c r="E6" s="15">
        <v>140</v>
      </c>
      <c r="F6" s="5">
        <f>INT(0.5+10*IF(Jump_Score&lt;(0.15*JMP_Recd),0,1500*(((Jump_Score-(0.15*JMP_Recd))/(JMP_Recd-(0.15*JMP_Recd)))^JMP_Exp)))/10</f>
        <v>1225.5</v>
      </c>
      <c r="G6" s="69"/>
      <c r="H6" s="69"/>
      <c r="I6" s="75">
        <v>2024</v>
      </c>
      <c r="J6" s="71"/>
    </row>
    <row r="7" spans="2:10" ht="13.5" thickBot="1">
      <c r="B7" s="68"/>
      <c r="C7" s="20"/>
      <c r="D7" s="2" t="s">
        <v>7</v>
      </c>
      <c r="E7" s="48"/>
      <c r="F7" s="27">
        <f>IF(OR(Division="G1",Division="B1"),SUM(F4:F5),SUM(F4:F6))</f>
        <v>2697.8</v>
      </c>
      <c r="G7" s="69"/>
      <c r="H7" s="69"/>
      <c r="I7" s="69"/>
      <c r="J7" s="71"/>
    </row>
    <row r="8" spans="2:10" ht="13.5" thickBot="1">
      <c r="B8" s="68"/>
      <c r="C8" s="69"/>
      <c r="D8" s="69"/>
      <c r="E8" s="69"/>
      <c r="F8" s="69"/>
      <c r="G8" s="69"/>
      <c r="H8" s="70" t="s">
        <v>8</v>
      </c>
      <c r="I8" s="70"/>
      <c r="J8" s="71"/>
    </row>
    <row r="9" spans="2:10" ht="12.75">
      <c r="B9" s="68"/>
      <c r="C9" s="21" t="s">
        <v>0</v>
      </c>
      <c r="D9" s="22" t="s">
        <v>9</v>
      </c>
      <c r="E9" s="22" t="s">
        <v>10</v>
      </c>
      <c r="F9" s="49" t="s">
        <v>11</v>
      </c>
      <c r="G9" s="76"/>
      <c r="H9" s="70" t="s">
        <v>12</v>
      </c>
      <c r="I9" s="70"/>
      <c r="J9" s="71"/>
    </row>
    <row r="10" spans="2:13" ht="12.75">
      <c r="B10" s="68"/>
      <c r="C10" s="25" t="str">
        <f>'Calculation Data'!B5</f>
        <v>M5</v>
      </c>
      <c r="D10" s="3" t="str">
        <f>D4</f>
        <v>Slalom</v>
      </c>
      <c r="E10" s="3">
        <f>'Calculation Data'!E5</f>
        <v>87.95</v>
      </c>
      <c r="F10" s="50">
        <f>'Calculation Data'!D5</f>
        <v>111.5</v>
      </c>
      <c r="G10" s="76"/>
      <c r="H10" s="69"/>
      <c r="I10" s="69"/>
      <c r="J10" s="71"/>
      <c r="M10" s="60"/>
    </row>
    <row r="11" spans="2:10" ht="12.75">
      <c r="B11" s="68"/>
      <c r="C11" s="25" t="str">
        <f>'Calculation Data'!B7</f>
        <v>M5</v>
      </c>
      <c r="D11" s="3" t="str">
        <f>D5</f>
        <v>Trick</v>
      </c>
      <c r="E11" s="3">
        <f>'Calculation Data'!E7</f>
        <v>1001.5</v>
      </c>
      <c r="F11" s="50">
        <f>'Calculation Data'!D7</f>
        <v>6230</v>
      </c>
      <c r="G11" s="76"/>
      <c r="H11" s="77" t="s">
        <v>13</v>
      </c>
      <c r="I11" s="78"/>
      <c r="J11" s="71"/>
    </row>
    <row r="12" spans="2:10" ht="13.5" thickBot="1">
      <c r="B12" s="68"/>
      <c r="C12" s="52" t="str">
        <f>IF(OR(Division="B1",Division="G1"),"--",'Calculation Data'!B8)</f>
        <v>M5</v>
      </c>
      <c r="D12" s="26" t="str">
        <f>D6</f>
        <v>Jump</v>
      </c>
      <c r="E12" s="26">
        <f>IF(OR(Division="B1",Division="G1"),"--",'Calculation Data'!E8)</f>
        <v>77.75</v>
      </c>
      <c r="F12" s="51">
        <f>IF(OR(Division="B1",Division="G1"),"--",'Calculation Data'!D8)</f>
        <v>162</v>
      </c>
      <c r="G12" s="76"/>
      <c r="H12" s="84" t="s">
        <v>68</v>
      </c>
      <c r="I12" s="88"/>
      <c r="J12" s="71"/>
    </row>
    <row r="13" spans="2:10" ht="13.5" thickBot="1">
      <c r="B13" s="65"/>
      <c r="C13" s="66"/>
      <c r="D13" s="66"/>
      <c r="E13" s="66"/>
      <c r="F13" s="66"/>
      <c r="G13" s="66"/>
      <c r="H13" s="66"/>
      <c r="I13" s="66"/>
      <c r="J13" s="67"/>
    </row>
    <row r="14" ht="13.5" thickTop="1"/>
    <row r="19" ht="12.75">
      <c r="J19" s="28"/>
    </row>
    <row r="20" ht="12.75">
      <c r="I20" s="62"/>
    </row>
  </sheetData>
  <sheetProtection password="9137" sheet="1"/>
  <printOptions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E20" sqref="E19:E20"/>
    </sheetView>
  </sheetViews>
  <sheetFormatPr defaultColWidth="9.140625" defaultRowHeight="12.75"/>
  <cols>
    <col min="2" max="2" width="10.421875" style="0" customWidth="1"/>
    <col min="3" max="3" width="4.57421875" style="0" customWidth="1"/>
    <col min="4" max="7" width="7.421875" style="0" customWidth="1"/>
    <col min="8" max="8" width="6.57421875" style="0" customWidth="1"/>
  </cols>
  <sheetData>
    <row r="1" spans="1:8" ht="13.5" thickBot="1">
      <c r="A1" s="11" t="s">
        <v>14</v>
      </c>
      <c r="B1" s="53" t="s">
        <v>15</v>
      </c>
      <c r="C1" s="54"/>
      <c r="D1" s="54"/>
      <c r="E1" s="54"/>
      <c r="F1" s="54"/>
      <c r="G1" s="54"/>
      <c r="H1" s="54"/>
    </row>
    <row r="2" spans="1:8" ht="12.75">
      <c r="A2" s="13" t="s">
        <v>16</v>
      </c>
      <c r="B2" s="36" t="s">
        <v>17</v>
      </c>
      <c r="C2" s="12" t="str">
        <f>INDEX(Input_List,'2024 NOPS Calculator'!C4)</f>
        <v>M5</v>
      </c>
      <c r="D2" s="12" t="s">
        <v>11</v>
      </c>
      <c r="E2" s="12" t="s">
        <v>10</v>
      </c>
      <c r="F2" s="12" t="s">
        <v>18</v>
      </c>
      <c r="G2" s="12" t="s">
        <v>19</v>
      </c>
      <c r="H2" s="40" t="s">
        <v>20</v>
      </c>
    </row>
    <row r="3" spans="1:8" ht="13.5" thickBot="1">
      <c r="A3" s="13" t="s">
        <v>21</v>
      </c>
      <c r="B3" s="23" t="s">
        <v>22</v>
      </c>
      <c r="C3" s="37">
        <f>MATCH(Division,Div_List,0)-1</f>
        <v>28</v>
      </c>
      <c r="D3" s="11"/>
      <c r="E3" s="11">
        <v>0</v>
      </c>
      <c r="F3" s="11">
        <v>0</v>
      </c>
      <c r="G3" s="11">
        <v>0</v>
      </c>
      <c r="H3" s="41" t="s">
        <v>23</v>
      </c>
    </row>
    <row r="4" spans="1:8" ht="13.5" thickBot="1">
      <c r="A4" s="13" t="s">
        <v>24</v>
      </c>
      <c r="B4" s="90"/>
      <c r="C4" s="91"/>
      <c r="D4" s="7"/>
      <c r="E4" s="7"/>
      <c r="F4" s="7"/>
      <c r="G4" s="7"/>
      <c r="H4" s="9"/>
    </row>
    <row r="5" spans="1:8" ht="12.75">
      <c r="A5" s="13" t="s">
        <v>64</v>
      </c>
      <c r="B5" s="10" t="str">
        <f ca="1">OFFSET(Data_Key,Div_Row,0)</f>
        <v>M5</v>
      </c>
      <c r="C5" s="39" t="str">
        <f ca="1">OFFSET(Data_Key,Div_Row,1)</f>
        <v>S</v>
      </c>
      <c r="D5" s="7">
        <f ca="1">OFFSET(Data_Key,Div_Row,2)</f>
        <v>111.5</v>
      </c>
      <c r="E5" s="7">
        <f ca="1">OFFSET(Data_Key,Div_Row,3)</f>
        <v>87.95</v>
      </c>
      <c r="F5" s="7">
        <f ca="1">OFFSET(Data_Key,Div_Row,4)</f>
        <v>8</v>
      </c>
      <c r="G5" s="38">
        <f ca="1">OFFSET(Data_Key,Div_Row,5)</f>
        <v>4.62</v>
      </c>
      <c r="H5" s="9">
        <f>IF(Slalom_Score="",0,1)</f>
        <v>1</v>
      </c>
    </row>
    <row r="6" spans="1:8" ht="12.75">
      <c r="A6" s="13" t="s">
        <v>66</v>
      </c>
      <c r="B6" s="10"/>
      <c r="C6" s="8"/>
      <c r="D6" s="7"/>
      <c r="E6" s="7"/>
      <c r="F6" s="7"/>
      <c r="G6" s="35"/>
      <c r="H6" s="9"/>
    </row>
    <row r="7" spans="1:8" ht="12.75">
      <c r="A7" s="13" t="s">
        <v>25</v>
      </c>
      <c r="B7" s="10" t="str">
        <f ca="1">OFFSET(Data_Key,Div_Row+1,0)</f>
        <v>M5</v>
      </c>
      <c r="C7" s="8" t="str">
        <f ca="1">OFFSET(Data_Key,Div_Row+1,1)</f>
        <v>T</v>
      </c>
      <c r="D7" s="7">
        <f ca="1">OFFSET(Data_Key,Div_Row+1,2)</f>
        <v>6230</v>
      </c>
      <c r="E7" s="7">
        <f ca="1">OFFSET(Data_Key,Div_Row+1,3)</f>
        <v>1001.5</v>
      </c>
      <c r="F7" s="7"/>
      <c r="G7" s="35">
        <f ca="1">OFFSET(Data_Key,Div_Row+1,5)</f>
        <v>0.601</v>
      </c>
      <c r="H7" s="9">
        <f>IF(Trick_Score="",0,1)</f>
        <v>1</v>
      </c>
    </row>
    <row r="8" spans="1:8" ht="13.5" thickBot="1">
      <c r="A8" s="13" t="s">
        <v>26</v>
      </c>
      <c r="B8" s="10" t="str">
        <f ca="1">OFFSET(Data_Key,Div_Row+2,0)</f>
        <v>M5</v>
      </c>
      <c r="C8" s="8" t="str">
        <f ca="1">OFFSET(Data_Key,Div_Row+2,1)</f>
        <v>J</v>
      </c>
      <c r="D8" s="11">
        <f ca="1">OFFSET(Data_Key,Div_Row+2,2)</f>
        <v>162</v>
      </c>
      <c r="E8" s="11">
        <f ca="1">OFFSET(Data_Key,Div_Row+2,3)</f>
        <v>77.75</v>
      </c>
      <c r="F8" s="11"/>
      <c r="G8" s="34">
        <f ca="1">OFFSET(Data_Key,Div_Row+2,5)</f>
        <v>1.161</v>
      </c>
      <c r="H8" s="42">
        <f>IF(Jump_Score="",0,1)</f>
        <v>1</v>
      </c>
    </row>
    <row r="9" spans="1:8" ht="12.75">
      <c r="A9" s="13" t="s">
        <v>27</v>
      </c>
      <c r="B9" s="10"/>
      <c r="C9" s="8"/>
      <c r="D9" s="7"/>
      <c r="E9" s="7"/>
      <c r="F9" s="7"/>
      <c r="G9" s="7"/>
      <c r="H9" s="9"/>
    </row>
    <row r="10" spans="1:8" ht="13.5" thickBot="1">
      <c r="A10" s="13" t="s">
        <v>65</v>
      </c>
      <c r="B10" s="32" t="str">
        <f>B8</f>
        <v>M5</v>
      </c>
      <c r="C10" s="33" t="s">
        <v>28</v>
      </c>
      <c r="E10" s="58"/>
      <c r="F10" t="s">
        <v>29</v>
      </c>
      <c r="H10" s="41">
        <f>SUM(H5:H8)</f>
        <v>3</v>
      </c>
    </row>
    <row r="11" spans="1:8" ht="13.5" thickBot="1">
      <c r="A11" s="13" t="s">
        <v>67</v>
      </c>
      <c r="B11" s="7"/>
      <c r="C11" s="28"/>
      <c r="E11" s="58"/>
      <c r="H11" s="41"/>
    </row>
    <row r="12" spans="1:8" ht="13.5" thickBot="1">
      <c r="A12" s="13" t="s">
        <v>30</v>
      </c>
      <c r="F12" s="45" t="s">
        <v>31</v>
      </c>
      <c r="H12" s="47">
        <f ca="1">OFFSET(Data_Key,Div_Row+1,6)</f>
        <v>3</v>
      </c>
    </row>
    <row r="13" ht="12.75">
      <c r="A13" s="13" t="s">
        <v>32</v>
      </c>
    </row>
    <row r="14" ht="12.75">
      <c r="A14" s="13" t="s">
        <v>33</v>
      </c>
    </row>
    <row r="15" ht="12.75">
      <c r="A15" s="13" t="s">
        <v>34</v>
      </c>
    </row>
    <row r="16" ht="12.75">
      <c r="A16" s="13" t="s">
        <v>35</v>
      </c>
    </row>
    <row r="17" ht="12.75">
      <c r="A17" s="13" t="s">
        <v>36</v>
      </c>
    </row>
    <row r="18" ht="12.75">
      <c r="A18" s="13" t="s">
        <v>37</v>
      </c>
    </row>
    <row r="19" ht="12.75">
      <c r="A19" s="13" t="s">
        <v>38</v>
      </c>
    </row>
    <row r="20" ht="12.75">
      <c r="A20" s="13" t="s">
        <v>39</v>
      </c>
    </row>
    <row r="21" ht="12.75">
      <c r="A21" s="13" t="s">
        <v>40</v>
      </c>
    </row>
    <row r="22" ht="12.75">
      <c r="A22" s="13" t="s">
        <v>41</v>
      </c>
    </row>
    <row r="23" ht="12.75">
      <c r="A23" s="13" t="s">
        <v>42</v>
      </c>
    </row>
    <row r="24" ht="12.75">
      <c r="A24" s="13" t="s">
        <v>43</v>
      </c>
    </row>
    <row r="25" ht="12.75">
      <c r="A25" s="13" t="s">
        <v>44</v>
      </c>
    </row>
    <row r="26" ht="12.75">
      <c r="A26" s="13" t="s">
        <v>45</v>
      </c>
    </row>
    <row r="27" ht="12.75">
      <c r="A27" s="13" t="s">
        <v>46</v>
      </c>
    </row>
    <row r="28" ht="12.75">
      <c r="A28" s="13" t="s">
        <v>47</v>
      </c>
    </row>
    <row r="29" ht="12.75">
      <c r="A29" s="13" t="s">
        <v>48</v>
      </c>
    </row>
    <row r="30" ht="12.75">
      <c r="A30" s="13" t="s">
        <v>49</v>
      </c>
    </row>
    <row r="31" ht="12.75">
      <c r="A31" s="13" t="s">
        <v>50</v>
      </c>
    </row>
    <row r="32" ht="12.75">
      <c r="A32" s="13" t="s">
        <v>51</v>
      </c>
    </row>
    <row r="33" ht="12.75">
      <c r="A33" s="13" t="s">
        <v>52</v>
      </c>
    </row>
    <row r="34" ht="12.75">
      <c r="A34" s="13" t="s">
        <v>53</v>
      </c>
    </row>
    <row r="35" ht="12.75">
      <c r="A35" s="13" t="s">
        <v>54</v>
      </c>
    </row>
    <row r="36" ht="12.75">
      <c r="A36" s="79" t="s">
        <v>55</v>
      </c>
    </row>
    <row r="37" ht="12.75">
      <c r="A37" s="79" t="s">
        <v>63</v>
      </c>
    </row>
    <row r="38" ht="12.75">
      <c r="A38" s="89" t="s">
        <v>27</v>
      </c>
    </row>
    <row r="39" ht="12.75">
      <c r="A39" s="89" t="s">
        <v>24</v>
      </c>
    </row>
    <row r="40" ht="12.75">
      <c r="A40" s="89" t="s">
        <v>66</v>
      </c>
    </row>
    <row r="41" ht="12.75">
      <c r="A41" s="89" t="s">
        <v>67</v>
      </c>
    </row>
  </sheetData>
  <sheetProtection password="9137" sheet="1"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10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5" sqref="D5"/>
    </sheetView>
  </sheetViews>
  <sheetFormatPr defaultColWidth="9.140625" defaultRowHeight="12.75"/>
  <cols>
    <col min="1" max="1" width="7.421875" style="93" customWidth="1"/>
    <col min="2" max="2" width="5.421875" style="1" customWidth="1"/>
    <col min="3" max="3" width="7.421875" style="87" customWidth="1"/>
    <col min="4" max="6" width="7.421875" style="1" customWidth="1"/>
    <col min="7" max="7" width="7.421875" style="30" customWidth="1"/>
    <col min="8" max="8" width="1.57421875" style="0" customWidth="1"/>
  </cols>
  <sheetData>
    <row r="1" spans="3:7" ht="15" customHeight="1">
      <c r="C1" s="85" t="s">
        <v>56</v>
      </c>
      <c r="D1" s="55"/>
      <c r="E1" s="55" t="s">
        <v>57</v>
      </c>
      <c r="F1" s="55"/>
      <c r="G1" s="31" t="s">
        <v>58</v>
      </c>
    </row>
    <row r="2" spans="1:7" ht="15" customHeight="1">
      <c r="A2" s="96" t="s">
        <v>0</v>
      </c>
      <c r="B2" s="6" t="s">
        <v>9</v>
      </c>
      <c r="C2" s="86" t="s">
        <v>11</v>
      </c>
      <c r="D2" s="57" t="s">
        <v>10</v>
      </c>
      <c r="E2" s="6" t="s">
        <v>18</v>
      </c>
      <c r="F2" s="6" t="s">
        <v>19</v>
      </c>
      <c r="G2" s="46" t="s">
        <v>59</v>
      </c>
    </row>
    <row r="3" spans="1:7" ht="15" customHeight="1">
      <c r="A3" s="93" t="s">
        <v>16</v>
      </c>
      <c r="B3" s="1" t="s">
        <v>60</v>
      </c>
      <c r="C3" s="80">
        <v>85</v>
      </c>
      <c r="D3" s="102">
        <v>23.16</v>
      </c>
      <c r="E3" s="1">
        <v>24</v>
      </c>
      <c r="F3" s="1">
        <f>INT(0.5+1000*LN((500-(6*E3))/(1500-(6*E3)))/(LN((D3-6)/(C3-6))))/1000</f>
        <v>0.876</v>
      </c>
      <c r="G3" s="43"/>
    </row>
    <row r="4" spans="1:7" ht="15" customHeight="1">
      <c r="A4" s="93" t="s">
        <v>16</v>
      </c>
      <c r="B4" s="1" t="s">
        <v>61</v>
      </c>
      <c r="C4" s="92">
        <v>6130</v>
      </c>
      <c r="D4" s="102">
        <v>335</v>
      </c>
      <c r="F4" s="1">
        <f>INT(0.5+1000*LN(5/15)/LN(D4/C4))/1000</f>
        <v>0.378</v>
      </c>
      <c r="G4" s="44">
        <v>2</v>
      </c>
    </row>
    <row r="5" spans="1:8" ht="15" customHeight="1">
      <c r="A5" s="96" t="s">
        <v>16</v>
      </c>
      <c r="B5" s="6" t="s">
        <v>62</v>
      </c>
      <c r="C5" s="64">
        <v>999</v>
      </c>
      <c r="D5" s="63">
        <v>999</v>
      </c>
      <c r="E5" s="6"/>
      <c r="F5" s="6">
        <v>0</v>
      </c>
      <c r="G5" s="56"/>
      <c r="H5" s="29"/>
    </row>
    <row r="6" spans="1:7" s="100" customFormat="1" ht="15" customHeight="1">
      <c r="A6" s="93" t="s">
        <v>21</v>
      </c>
      <c r="B6" s="93" t="s">
        <v>60</v>
      </c>
      <c r="C6" s="80">
        <v>91</v>
      </c>
      <c r="D6" s="102">
        <v>59.09</v>
      </c>
      <c r="E6" s="93">
        <v>8</v>
      </c>
      <c r="F6" s="93">
        <f>INT(0.5+1000*LN((500-(6*E6))/(1500-(6*E6)))/(LN((D6-6)/(C6-6))))/1000</f>
        <v>2.48</v>
      </c>
      <c r="G6" s="94"/>
    </row>
    <row r="7" spans="1:7" s="100" customFormat="1" ht="15" customHeight="1">
      <c r="A7" s="93" t="s">
        <v>21</v>
      </c>
      <c r="B7" s="93" t="s">
        <v>61</v>
      </c>
      <c r="C7" s="92">
        <v>8930</v>
      </c>
      <c r="D7" s="102">
        <v>819</v>
      </c>
      <c r="E7" s="93"/>
      <c r="F7" s="93">
        <f>INT(0.5+1000*LN(5/15)/LN(D7/C7))/1000</f>
        <v>0.46</v>
      </c>
      <c r="G7" s="95">
        <v>3</v>
      </c>
    </row>
    <row r="8" spans="1:8" s="100" customFormat="1" ht="15" customHeight="1">
      <c r="A8" s="96" t="s">
        <v>21</v>
      </c>
      <c r="B8" s="96" t="s">
        <v>62</v>
      </c>
      <c r="C8" s="97">
        <v>112</v>
      </c>
      <c r="D8" s="102">
        <v>43.55</v>
      </c>
      <c r="E8" s="96"/>
      <c r="F8" s="96">
        <f>INT(0.5+1000*LN(5/15)/LN((D8-(0.15*C8))/(C8-(0.15*C8))))/1000</f>
        <v>0.865</v>
      </c>
      <c r="G8" s="98"/>
      <c r="H8" s="101"/>
    </row>
    <row r="9" spans="1:8" ht="15" customHeight="1">
      <c r="A9" s="99" t="s">
        <v>24</v>
      </c>
      <c r="B9" s="93" t="s">
        <v>60</v>
      </c>
      <c r="C9" s="92">
        <v>104.5</v>
      </c>
      <c r="D9" s="102">
        <v>65.83</v>
      </c>
      <c r="E9" s="93">
        <v>8</v>
      </c>
      <c r="F9" s="93">
        <f>INT(0.5+1000*LN((500-(6*E9))/(1500-(6*E9)))/(LN((D9-6)/(C9-6))))/1000</f>
        <v>2.341</v>
      </c>
      <c r="G9" s="94"/>
      <c r="H9" s="28"/>
    </row>
    <row r="10" spans="1:8" ht="15" customHeight="1">
      <c r="A10" s="99" t="s">
        <v>24</v>
      </c>
      <c r="B10" s="93" t="s">
        <v>61</v>
      </c>
      <c r="C10" s="92">
        <v>11100</v>
      </c>
      <c r="D10" s="102">
        <v>1170</v>
      </c>
      <c r="E10" s="93"/>
      <c r="F10" s="93">
        <f>INT(0.5+1000*LN(5/15)/LN(D10/C10))/1000</f>
        <v>0.488</v>
      </c>
      <c r="G10" s="95">
        <v>3</v>
      </c>
      <c r="H10" s="28"/>
    </row>
    <row r="11" spans="1:8" ht="15" customHeight="1">
      <c r="A11" s="99" t="s">
        <v>24</v>
      </c>
      <c r="B11" s="96" t="s">
        <v>62</v>
      </c>
      <c r="C11" s="97">
        <v>144</v>
      </c>
      <c r="D11" s="102">
        <v>66.7</v>
      </c>
      <c r="E11" s="96"/>
      <c r="F11" s="96">
        <f>INT(0.5+1000*LN(5/15)/LN((D11-(0.15*C11))/(C11-(0.15*C11))))/1000</f>
        <v>1.1</v>
      </c>
      <c r="G11" s="98"/>
      <c r="H11" s="28"/>
    </row>
    <row r="12" spans="1:7" ht="15" customHeight="1">
      <c r="A12" s="93" t="s">
        <v>64</v>
      </c>
      <c r="B12" s="1" t="s">
        <v>60</v>
      </c>
      <c r="C12" s="80">
        <v>115</v>
      </c>
      <c r="D12" s="102">
        <v>82.67</v>
      </c>
      <c r="E12" s="1">
        <v>8</v>
      </c>
      <c r="F12" s="1">
        <f>INT(0.5+1000*LN((500-(6*E12))/(1500-(6*E12)))/(LN((D12-6)/(C12-6))))/1000</f>
        <v>3.317</v>
      </c>
      <c r="G12" s="43"/>
    </row>
    <row r="13" spans="1:7" ht="15" customHeight="1">
      <c r="A13" s="93" t="s">
        <v>64</v>
      </c>
      <c r="B13" s="1" t="s">
        <v>61</v>
      </c>
      <c r="C13" s="80">
        <v>11490</v>
      </c>
      <c r="D13" s="102">
        <v>1260</v>
      </c>
      <c r="F13" s="1">
        <f>INT(0.5+1000*LN(5/15)/LN(D13/C13))/1000</f>
        <v>0.497</v>
      </c>
      <c r="G13" s="44">
        <v>3</v>
      </c>
    </row>
    <row r="14" spans="1:8" ht="15" customHeight="1">
      <c r="A14" s="96" t="s">
        <v>64</v>
      </c>
      <c r="B14" s="6" t="s">
        <v>62</v>
      </c>
      <c r="C14" s="64">
        <v>191</v>
      </c>
      <c r="D14" s="102">
        <v>76.5</v>
      </c>
      <c r="E14" s="6"/>
      <c r="F14" s="6">
        <f>INT(0.5+1000*LN(5/15)/LN((D14-(0.15*C14))/(C14-(0.15*C14))))/1000</f>
        <v>0.899</v>
      </c>
      <c r="G14" s="56"/>
      <c r="H14" s="29"/>
    </row>
    <row r="15" spans="1:8" ht="15" customHeight="1">
      <c r="A15" s="93" t="s">
        <v>66</v>
      </c>
      <c r="B15" s="1" t="s">
        <v>60</v>
      </c>
      <c r="C15" s="80">
        <v>117</v>
      </c>
      <c r="D15" s="102">
        <v>81.34</v>
      </c>
      <c r="E15" s="1">
        <v>8</v>
      </c>
      <c r="F15" s="1">
        <f>INT(0.5+1000*LN((500-(6*E15))/(1500-(6*E15)))/(LN((D15-6)/(C15-6))))/1000</f>
        <v>3.012</v>
      </c>
      <c r="G15" s="43"/>
      <c r="H15" s="28"/>
    </row>
    <row r="16" spans="1:8" ht="15" customHeight="1">
      <c r="A16" s="93" t="s">
        <v>66</v>
      </c>
      <c r="B16" s="1" t="s">
        <v>61</v>
      </c>
      <c r="C16" s="80">
        <v>11970</v>
      </c>
      <c r="D16" s="102">
        <v>1560</v>
      </c>
      <c r="F16" s="1">
        <f>INT(0.5+1000*LN(5/15)/LN(D16/C16))/1000</f>
        <v>0.539</v>
      </c>
      <c r="G16" s="44">
        <v>3</v>
      </c>
      <c r="H16" s="28"/>
    </row>
    <row r="17" spans="1:8" ht="15" customHeight="1">
      <c r="A17" s="96" t="s">
        <v>66</v>
      </c>
      <c r="B17" s="6" t="s">
        <v>62</v>
      </c>
      <c r="C17" s="64">
        <v>193</v>
      </c>
      <c r="D17" s="102">
        <v>79.7</v>
      </c>
      <c r="E17" s="6"/>
      <c r="F17" s="6">
        <f>INT(0.5+1000*LN(5/15)/LN((D17-(0.15*C17))/(C17-(0.15*C17))))/1000</f>
        <v>0.936</v>
      </c>
      <c r="G17" s="56"/>
      <c r="H17" s="28"/>
    </row>
    <row r="18" spans="1:7" ht="15" customHeight="1">
      <c r="A18" s="93" t="s">
        <v>30</v>
      </c>
      <c r="B18" s="1" t="s">
        <v>60</v>
      </c>
      <c r="C18" s="80">
        <v>122.5</v>
      </c>
      <c r="D18" s="102">
        <v>74.85</v>
      </c>
      <c r="E18" s="1">
        <v>8</v>
      </c>
      <c r="F18" s="1">
        <f>INT(0.5+1000*LN((500-(6*E18))/(1500-(6*E18)))/(LN((D18-6)/(C18-6))))/1000</f>
        <v>2.219</v>
      </c>
      <c r="G18" s="43"/>
    </row>
    <row r="19" spans="1:7" ht="15" customHeight="1">
      <c r="A19" s="93" t="s">
        <v>30</v>
      </c>
      <c r="B19" s="1" t="s">
        <v>61</v>
      </c>
      <c r="C19" s="80">
        <v>11620</v>
      </c>
      <c r="D19" s="102">
        <v>960</v>
      </c>
      <c r="F19" s="1">
        <f>INT(0.5+1000*LN(5/15)/LN(D19/C19))/1000</f>
        <v>0.441</v>
      </c>
      <c r="G19" s="44">
        <v>3</v>
      </c>
    </row>
    <row r="20" spans="1:8" ht="15" customHeight="1">
      <c r="A20" s="96" t="s">
        <v>30</v>
      </c>
      <c r="B20" s="6" t="s">
        <v>62</v>
      </c>
      <c r="C20" s="64">
        <v>218</v>
      </c>
      <c r="D20" s="102">
        <v>71.3</v>
      </c>
      <c r="E20" s="6"/>
      <c r="F20" s="6">
        <f>INT(0.5+1000*LN(5/15)/LN((D20-(0.15*C20))/(C20-(0.15*C20))))/1000</f>
        <v>0.7</v>
      </c>
      <c r="G20" s="56"/>
      <c r="H20" s="29"/>
    </row>
    <row r="21" spans="1:7" ht="15" customHeight="1">
      <c r="A21" s="93" t="s">
        <v>32</v>
      </c>
      <c r="B21" s="1" t="s">
        <v>60</v>
      </c>
      <c r="C21" s="80">
        <v>122</v>
      </c>
      <c r="D21" s="102">
        <v>83.15</v>
      </c>
      <c r="E21" s="1">
        <v>8</v>
      </c>
      <c r="F21" s="1">
        <f>INT(0.5+1000*LN((500-(6*E21))/(1500-(6*E21)))/(LN((D21-6)/(C21-6))))/1000</f>
        <v>2.861</v>
      </c>
      <c r="G21" s="43"/>
    </row>
    <row r="22" spans="1:7" ht="15" customHeight="1">
      <c r="A22" s="93" t="s">
        <v>32</v>
      </c>
      <c r="B22" s="1" t="s">
        <v>61</v>
      </c>
      <c r="C22" s="80">
        <v>12170</v>
      </c>
      <c r="D22" s="102">
        <v>1224</v>
      </c>
      <c r="F22" s="1">
        <f>INT(0.5+1000*LN(5/15)/LN(D22/C22))/1000</f>
        <v>0.478</v>
      </c>
      <c r="G22" s="44">
        <v>3</v>
      </c>
    </row>
    <row r="23" spans="1:8" ht="15" customHeight="1">
      <c r="A23" s="96" t="s">
        <v>32</v>
      </c>
      <c r="B23" s="6" t="s">
        <v>62</v>
      </c>
      <c r="C23" s="64">
        <v>216</v>
      </c>
      <c r="D23" s="102">
        <v>94.3</v>
      </c>
      <c r="E23" s="6"/>
      <c r="F23" s="6">
        <f>INT(0.5+1000*LN(5/15)/LN((D23-(0.15*C23))/(C23-(0.15*C23))))/1000</f>
        <v>1.01</v>
      </c>
      <c r="G23" s="56"/>
      <c r="H23" s="29"/>
    </row>
    <row r="24" spans="1:7" ht="15" customHeight="1">
      <c r="A24" s="93" t="s">
        <v>33</v>
      </c>
      <c r="B24" s="1" t="s">
        <v>60</v>
      </c>
      <c r="C24" s="80">
        <v>115.5</v>
      </c>
      <c r="D24" s="102">
        <v>82.95</v>
      </c>
      <c r="E24" s="1">
        <v>8</v>
      </c>
      <c r="F24" s="1">
        <f>INT(0.5+1000*LN((500-(6*E24))/(1500-(6*E24)))/(LN((D24-6)/(C24-6))))/1000</f>
        <v>3.308</v>
      </c>
      <c r="G24" s="43"/>
    </row>
    <row r="25" spans="1:7" ht="15" customHeight="1">
      <c r="A25" s="93" t="s">
        <v>33</v>
      </c>
      <c r="B25" s="1" t="s">
        <v>61</v>
      </c>
      <c r="C25" s="80">
        <v>12070</v>
      </c>
      <c r="D25" s="102">
        <v>938.5</v>
      </c>
      <c r="F25" s="1">
        <f>INT(0.5+1000*LN(5/15)/LN(D25/C25))/1000</f>
        <v>0.43</v>
      </c>
      <c r="G25" s="44">
        <v>3</v>
      </c>
    </row>
    <row r="26" spans="1:8" ht="15" customHeight="1">
      <c r="A26" s="96" t="s">
        <v>33</v>
      </c>
      <c r="B26" s="6" t="s">
        <v>62</v>
      </c>
      <c r="C26" s="64">
        <v>203</v>
      </c>
      <c r="D26" s="102">
        <v>81.9</v>
      </c>
      <c r="E26" s="6"/>
      <c r="F26" s="6">
        <f>INT(0.5+1000*LN(5/15)/LN((D26-(0.15*C26))/(C26-(0.15*C26))))/1000</f>
        <v>0.908</v>
      </c>
      <c r="G26" s="56"/>
      <c r="H26" s="29"/>
    </row>
    <row r="27" spans="1:7" ht="15" customHeight="1">
      <c r="A27" s="93" t="s">
        <v>34</v>
      </c>
      <c r="B27" s="1" t="s">
        <v>60</v>
      </c>
      <c r="C27" s="80">
        <v>115.5</v>
      </c>
      <c r="D27" s="102">
        <v>84.55</v>
      </c>
      <c r="E27" s="1">
        <v>8</v>
      </c>
      <c r="F27" s="1">
        <f>INT(0.5+1000*LN((500-(6*E27))/(1500-(6*E27)))/(LN((D27-6)/(C27-6))))/1000</f>
        <v>3.513</v>
      </c>
      <c r="G27" s="43"/>
    </row>
    <row r="28" spans="1:7" ht="15" customHeight="1">
      <c r="A28" s="93" t="s">
        <v>34</v>
      </c>
      <c r="B28" s="1" t="s">
        <v>61</v>
      </c>
      <c r="C28" s="80">
        <v>11470</v>
      </c>
      <c r="D28" s="102">
        <v>1053.5</v>
      </c>
      <c r="F28" s="1">
        <f>INT(0.5+1000*LN(5/15)/LN(D28/C28))/1000</f>
        <v>0.46</v>
      </c>
      <c r="G28" s="44">
        <v>3</v>
      </c>
    </row>
    <row r="29" spans="1:8" ht="15" customHeight="1">
      <c r="A29" s="96" t="s">
        <v>34</v>
      </c>
      <c r="B29" s="6" t="s">
        <v>62</v>
      </c>
      <c r="C29" s="64">
        <v>191</v>
      </c>
      <c r="D29" s="102">
        <v>67</v>
      </c>
      <c r="E29" s="6"/>
      <c r="F29" s="6">
        <f>INT(0.5+1000*LN(5/15)/LN((D29-(0.15*C29))/(C29-(0.15*C29))))/1000</f>
        <v>0.761</v>
      </c>
      <c r="G29" s="56"/>
      <c r="H29" s="29"/>
    </row>
    <row r="30" spans="1:7" ht="15" customHeight="1">
      <c r="A30" s="93" t="s">
        <v>35</v>
      </c>
      <c r="B30" s="1" t="s">
        <v>60</v>
      </c>
      <c r="C30" s="80">
        <v>111.5</v>
      </c>
      <c r="D30" s="102">
        <v>87.95</v>
      </c>
      <c r="E30" s="1">
        <v>8</v>
      </c>
      <c r="F30" s="1">
        <f>INT(0.5+1000*LN((500-(6*E30))/(1500-(6*E30)))/(LN((D30-6)/(C30-6))))/1000</f>
        <v>4.62</v>
      </c>
      <c r="G30" s="43"/>
    </row>
    <row r="31" spans="1:7" ht="15" customHeight="1">
      <c r="A31" s="93" t="s">
        <v>35</v>
      </c>
      <c r="B31" s="1" t="s">
        <v>61</v>
      </c>
      <c r="C31" s="80">
        <v>6230</v>
      </c>
      <c r="D31" s="102">
        <v>1001.5</v>
      </c>
      <c r="F31" s="1">
        <f>INT(0.5+1000*LN(5/15)/LN(D31/C31))/1000</f>
        <v>0.601</v>
      </c>
      <c r="G31" s="44">
        <v>3</v>
      </c>
    </row>
    <row r="32" spans="1:8" ht="15" customHeight="1">
      <c r="A32" s="96" t="s">
        <v>35</v>
      </c>
      <c r="B32" s="6" t="s">
        <v>62</v>
      </c>
      <c r="C32" s="64">
        <v>162</v>
      </c>
      <c r="D32" s="102">
        <v>77.75</v>
      </c>
      <c r="E32" s="6"/>
      <c r="F32" s="6">
        <f>INT(0.5+1000*LN(5/15)/LN((D32-(0.15*C32))/(C32-(0.15*C32))))/1000</f>
        <v>1.161</v>
      </c>
      <c r="G32" s="56"/>
      <c r="H32" s="29"/>
    </row>
    <row r="33" spans="1:7" ht="15" customHeight="1">
      <c r="A33" s="93" t="s">
        <v>36</v>
      </c>
      <c r="B33" s="1" t="s">
        <v>60</v>
      </c>
      <c r="C33" s="92">
        <v>110</v>
      </c>
      <c r="D33" s="102">
        <v>85.4</v>
      </c>
      <c r="E33" s="1">
        <v>8</v>
      </c>
      <c r="F33" s="1">
        <f>INT(0.5+1000*LN((500-(6*E33))/(1500-(6*E33)))/(LN((D33-6)/(C33-6))))/1000</f>
        <v>4.324</v>
      </c>
      <c r="G33" s="43"/>
    </row>
    <row r="34" spans="1:7" ht="15" customHeight="1">
      <c r="A34" s="93" t="s">
        <v>36</v>
      </c>
      <c r="B34" s="1" t="s">
        <v>61</v>
      </c>
      <c r="C34" s="80">
        <v>4830</v>
      </c>
      <c r="D34" s="102">
        <v>1404</v>
      </c>
      <c r="F34" s="1">
        <f>INT(0.5+1000*LN(5/15)/LN(D34/C34))/1000</f>
        <v>0.889</v>
      </c>
      <c r="G34" s="44">
        <v>3</v>
      </c>
    </row>
    <row r="35" spans="1:8" ht="15" customHeight="1">
      <c r="A35" s="96" t="s">
        <v>36</v>
      </c>
      <c r="B35" s="6" t="s">
        <v>62</v>
      </c>
      <c r="C35" s="64">
        <v>155</v>
      </c>
      <c r="D35" s="102">
        <v>73.9</v>
      </c>
      <c r="E35" s="6"/>
      <c r="F35" s="6">
        <f>INT(0.5+1000*LN(5/15)/LN((D35-(0.15*C35))/(C35-(0.15*C35))))/1000</f>
        <v>1.149</v>
      </c>
      <c r="G35" s="56"/>
      <c r="H35" s="29"/>
    </row>
    <row r="36" spans="1:7" ht="15" customHeight="1">
      <c r="A36" s="93" t="s">
        <v>37</v>
      </c>
      <c r="B36" s="1" t="s">
        <v>60</v>
      </c>
      <c r="C36" s="80">
        <v>104</v>
      </c>
      <c r="D36" s="102">
        <v>81.25</v>
      </c>
      <c r="E36" s="1">
        <v>8</v>
      </c>
      <c r="F36" s="1">
        <f>INT(0.5+1000*LN((500-(6*E36))/(1500-(6*E36)))/(LN((D36-6)/(C36-6))))/1000</f>
        <v>4.418</v>
      </c>
      <c r="G36" s="43"/>
    </row>
    <row r="37" spans="1:7" ht="15" customHeight="1">
      <c r="A37" s="93" t="s">
        <v>37</v>
      </c>
      <c r="B37" s="1" t="s">
        <v>61</v>
      </c>
      <c r="C37" s="80">
        <v>3800</v>
      </c>
      <c r="D37" s="102">
        <v>1080</v>
      </c>
      <c r="F37" s="1">
        <f>INT(0.5+1000*LN(5/15)/LN(D37/C37))/1000</f>
        <v>0.873</v>
      </c>
      <c r="G37" s="44">
        <v>3</v>
      </c>
    </row>
    <row r="38" spans="1:8" ht="15" customHeight="1">
      <c r="A38" s="96" t="s">
        <v>37</v>
      </c>
      <c r="B38" s="6" t="s">
        <v>62</v>
      </c>
      <c r="C38" s="64">
        <v>137</v>
      </c>
      <c r="D38" s="102">
        <v>52.2</v>
      </c>
      <c r="E38" s="6"/>
      <c r="F38" s="6">
        <f>INT(0.5+1000*LN(5/15)/LN((D38-(0.15*C38))/(C38-(0.15*C38))))/1000</f>
        <v>0.843</v>
      </c>
      <c r="G38" s="56"/>
      <c r="H38" s="29"/>
    </row>
    <row r="39" spans="1:7" ht="15" customHeight="1">
      <c r="A39" s="93" t="s">
        <v>38</v>
      </c>
      <c r="B39" s="1" t="s">
        <v>60</v>
      </c>
      <c r="C39" s="80">
        <v>99</v>
      </c>
      <c r="D39" s="102">
        <v>78.33</v>
      </c>
      <c r="E39" s="1">
        <v>8</v>
      </c>
      <c r="F39" s="1">
        <f>INT(0.5+1000*LN((500-(6*E39))/(1500-(6*E39)))/(LN((D39-6)/(C39-6))))/1000</f>
        <v>4.643</v>
      </c>
      <c r="G39" s="43"/>
    </row>
    <row r="40" spans="1:7" ht="15" customHeight="1">
      <c r="A40" s="93" t="s">
        <v>38</v>
      </c>
      <c r="B40" s="1" t="s">
        <v>61</v>
      </c>
      <c r="C40" s="80">
        <v>3400</v>
      </c>
      <c r="D40" s="102">
        <v>976</v>
      </c>
      <c r="F40" s="1">
        <f>INT(0.5+1000*LN(5/15)/LN(D40/C40))/1000</f>
        <v>0.88</v>
      </c>
      <c r="G40" s="44">
        <v>2</v>
      </c>
    </row>
    <row r="41" spans="1:8" ht="15" customHeight="1">
      <c r="A41" s="96" t="s">
        <v>38</v>
      </c>
      <c r="B41" s="6" t="s">
        <v>62</v>
      </c>
      <c r="C41" s="64">
        <v>123</v>
      </c>
      <c r="D41" s="102">
        <v>45.6</v>
      </c>
      <c r="E41" s="6"/>
      <c r="F41" s="6">
        <f>INT(0.5+1000*LN(5/15)/LN((D41-(0.15*C41))/(C41-(0.15*C41))))/1000</f>
        <v>0.815</v>
      </c>
      <c r="G41" s="56"/>
      <c r="H41" s="29"/>
    </row>
    <row r="42" spans="1:7" ht="15" customHeight="1">
      <c r="A42" s="93" t="s">
        <v>39</v>
      </c>
      <c r="B42" s="1" t="s">
        <v>60</v>
      </c>
      <c r="C42" s="80">
        <v>92</v>
      </c>
      <c r="D42" s="102">
        <v>75.17</v>
      </c>
      <c r="E42" s="1">
        <v>8</v>
      </c>
      <c r="F42" s="1">
        <f>INT(0.5+1000*LN((500-(6*E42))/(1500-(6*E42)))/(LN((D42-6)/(C42-6))))/1000</f>
        <v>5.359</v>
      </c>
      <c r="G42" s="43"/>
    </row>
    <row r="43" spans="1:7" ht="15" customHeight="1">
      <c r="A43" s="93" t="s">
        <v>39</v>
      </c>
      <c r="B43" s="1" t="s">
        <v>61</v>
      </c>
      <c r="C43" s="80">
        <v>2520</v>
      </c>
      <c r="D43" s="102">
        <v>608</v>
      </c>
      <c r="F43" s="1">
        <f>INT(0.5+1000*LN(5/15)/LN(D43/C43))/1000</f>
        <v>0.773</v>
      </c>
      <c r="G43" s="44">
        <v>2</v>
      </c>
    </row>
    <row r="44" spans="1:8" ht="15" customHeight="1">
      <c r="A44" s="96" t="s">
        <v>39</v>
      </c>
      <c r="B44" s="6" t="s">
        <v>62</v>
      </c>
      <c r="C44" s="64">
        <v>98</v>
      </c>
      <c r="D44" s="102">
        <v>37.3</v>
      </c>
      <c r="E44" s="6"/>
      <c r="F44" s="6">
        <f>INT(0.5+1000*LN(5/15)/LN((D44-(0.15*C44))/(C44-(0.15*C44))))/1000</f>
        <v>0.842</v>
      </c>
      <c r="G44" s="56"/>
      <c r="H44" s="29"/>
    </row>
    <row r="45" spans="1:7" ht="15" customHeight="1">
      <c r="A45" s="93" t="s">
        <v>40</v>
      </c>
      <c r="B45" s="1" t="s">
        <v>60</v>
      </c>
      <c r="C45" s="80">
        <v>80</v>
      </c>
      <c r="D45" s="102">
        <v>60.33</v>
      </c>
      <c r="E45" s="1">
        <v>8</v>
      </c>
      <c r="F45" s="1">
        <f>INT(0.5+1000*LN((500-(6*E45))/(1500-(6*E45)))/(LN((D45-6)/(C45-6))))/1000</f>
        <v>3.777</v>
      </c>
      <c r="G45" s="43"/>
    </row>
    <row r="46" spans="1:7" ht="15" customHeight="1">
      <c r="A46" s="93" t="s">
        <v>40</v>
      </c>
      <c r="B46" s="1" t="s">
        <v>61</v>
      </c>
      <c r="C46" s="80">
        <v>1600</v>
      </c>
      <c r="D46" s="102">
        <v>800</v>
      </c>
      <c r="F46" s="1">
        <f>INT(0.5+1000*LN(5/15)/LN(D46/C46))/1000</f>
        <v>1.585</v>
      </c>
      <c r="G46" s="44">
        <v>2</v>
      </c>
    </row>
    <row r="47" spans="1:8" ht="15" customHeight="1">
      <c r="A47" s="96" t="s">
        <v>40</v>
      </c>
      <c r="B47" s="6" t="s">
        <v>62</v>
      </c>
      <c r="C47" s="64">
        <v>100</v>
      </c>
      <c r="D47" s="63">
        <v>23.4</v>
      </c>
      <c r="E47" s="6"/>
      <c r="F47" s="6">
        <f>INT(0.5+1000*LN(5/15)/LN((D47-(0.15*C47))/(C47-(0.15*C47))))/1000</f>
        <v>0.475</v>
      </c>
      <c r="G47" s="56"/>
      <c r="H47" s="29"/>
    </row>
    <row r="48" spans="1:7" ht="15" customHeight="1">
      <c r="A48" s="93" t="s">
        <v>41</v>
      </c>
      <c r="B48" s="1" t="s">
        <v>60</v>
      </c>
      <c r="C48" s="80">
        <v>64</v>
      </c>
      <c r="D48" s="102">
        <v>32.23</v>
      </c>
      <c r="E48" s="1">
        <v>8</v>
      </c>
      <c r="F48" s="1">
        <f>INT(0.5+1000*LN((500-(6*E48))/(1500-(6*E48)))/(LN((D48-6)/(C48-6))))/1000</f>
        <v>1.471</v>
      </c>
      <c r="G48" s="43"/>
    </row>
    <row r="49" spans="1:7" ht="15" customHeight="1">
      <c r="A49" s="93" t="s">
        <v>41</v>
      </c>
      <c r="B49" s="1" t="s">
        <v>61</v>
      </c>
      <c r="C49" s="80">
        <v>1050</v>
      </c>
      <c r="D49" s="102">
        <v>432.5</v>
      </c>
      <c r="F49" s="1">
        <f>INT(0.5+1000*LN(5/15)/LN(D49/C49))/1000</f>
        <v>1.239</v>
      </c>
      <c r="G49" s="44">
        <v>2</v>
      </c>
    </row>
    <row r="50" spans="1:8" ht="15" customHeight="1">
      <c r="A50" s="96" t="s">
        <v>41</v>
      </c>
      <c r="B50" s="6" t="s">
        <v>62</v>
      </c>
      <c r="C50" s="64">
        <v>41</v>
      </c>
      <c r="D50" s="63">
        <v>19.5</v>
      </c>
      <c r="E50" s="6"/>
      <c r="F50" s="6">
        <f>INT(0.5+1000*LN(5/15)/LN((D50-(0.15*C50))/(C50-(0.15*C50))))/1000</f>
        <v>1.145</v>
      </c>
      <c r="G50" s="56"/>
      <c r="H50" s="29"/>
    </row>
    <row r="51" spans="1:7" ht="15" customHeight="1">
      <c r="A51" s="93" t="s">
        <v>25</v>
      </c>
      <c r="B51" s="1" t="s">
        <v>60</v>
      </c>
      <c r="C51" s="80">
        <v>80</v>
      </c>
      <c r="D51" s="102">
        <v>22.8</v>
      </c>
      <c r="E51" s="1">
        <v>40</v>
      </c>
      <c r="F51" s="1">
        <f>INT(0.5+1000*LN((500-(6*E51))/(1500-(6*E51)))/(LN((D51-6)/(C51-6))))/1000</f>
        <v>1.064</v>
      </c>
      <c r="G51" s="43"/>
    </row>
    <row r="52" spans="1:7" ht="15" customHeight="1">
      <c r="A52" s="93" t="s">
        <v>25</v>
      </c>
      <c r="B52" s="1" t="s">
        <v>61</v>
      </c>
      <c r="C52" s="80">
        <v>5340</v>
      </c>
      <c r="D52" s="102">
        <v>361</v>
      </c>
      <c r="F52" s="1">
        <f>INT(0.5+1000*LN(5/15)/LN(D52/C52))/1000</f>
        <v>0.408</v>
      </c>
      <c r="G52" s="44">
        <v>2</v>
      </c>
    </row>
    <row r="53" spans="1:8" ht="15" customHeight="1">
      <c r="A53" s="96" t="s">
        <v>25</v>
      </c>
      <c r="B53" s="6" t="s">
        <v>62</v>
      </c>
      <c r="C53" s="81">
        <v>999</v>
      </c>
      <c r="D53" s="29">
        <v>999</v>
      </c>
      <c r="E53" s="6"/>
      <c r="F53" s="6">
        <v>0</v>
      </c>
      <c r="G53" s="56"/>
      <c r="H53" s="29"/>
    </row>
    <row r="54" spans="1:7" ht="15" customHeight="1">
      <c r="A54" s="93" t="s">
        <v>26</v>
      </c>
      <c r="B54" s="93" t="s">
        <v>60</v>
      </c>
      <c r="C54" s="92">
        <v>91</v>
      </c>
      <c r="D54" s="102">
        <v>38.08</v>
      </c>
      <c r="E54" s="93">
        <v>8</v>
      </c>
      <c r="F54" s="93">
        <f>INT(0.5+1000*LN((500-(6*E54))/(1500-(6*E54)))/(LN((D54-6)/(C54-6))))/1000</f>
        <v>1.198</v>
      </c>
      <c r="G54" s="94"/>
    </row>
    <row r="55" spans="1:7" ht="15" customHeight="1">
      <c r="A55" s="93" t="s">
        <v>26</v>
      </c>
      <c r="B55" s="93" t="s">
        <v>61</v>
      </c>
      <c r="C55" s="92">
        <v>6260</v>
      </c>
      <c r="D55" s="102">
        <v>790</v>
      </c>
      <c r="E55" s="93"/>
      <c r="F55" s="93">
        <f>INT(0.5+1000*LN(5/15)/LN(D55/C55))/1000</f>
        <v>0.531</v>
      </c>
      <c r="G55" s="95">
        <v>3</v>
      </c>
    </row>
    <row r="56" spans="1:8" ht="15" customHeight="1">
      <c r="A56" s="96" t="s">
        <v>26</v>
      </c>
      <c r="B56" s="96" t="s">
        <v>62</v>
      </c>
      <c r="C56" s="97">
        <v>75</v>
      </c>
      <c r="D56" s="102">
        <v>31.7</v>
      </c>
      <c r="E56" s="96"/>
      <c r="F56" s="96">
        <f>INT(0.5+1000*LN(5/15)/LN((D56-(0.15*C56))/(C56-(0.15*C56))))/1000</f>
        <v>0.966</v>
      </c>
      <c r="G56" s="98"/>
      <c r="H56" s="29"/>
    </row>
    <row r="57" spans="1:8" ht="15" customHeight="1">
      <c r="A57" s="93" t="s">
        <v>27</v>
      </c>
      <c r="B57" s="93" t="s">
        <v>60</v>
      </c>
      <c r="C57" s="92">
        <v>84</v>
      </c>
      <c r="D57" s="102">
        <v>60.94</v>
      </c>
      <c r="E57" s="93">
        <v>8</v>
      </c>
      <c r="F57" s="93">
        <f>INT(0.5+1000*LN((500-(6*E57))/(1500-(6*E57)))/(LN((D57-6)/(C57-6))))/1000</f>
        <v>3.33</v>
      </c>
      <c r="G57" s="94"/>
      <c r="H57" s="28"/>
    </row>
    <row r="58" spans="1:8" ht="15" customHeight="1">
      <c r="A58" s="93" t="s">
        <v>27</v>
      </c>
      <c r="B58" s="93" t="s">
        <v>61</v>
      </c>
      <c r="C58" s="92">
        <v>7440</v>
      </c>
      <c r="D58" s="102">
        <v>1131</v>
      </c>
      <c r="E58" s="93"/>
      <c r="F58" s="93">
        <f>INT(0.5+1000*LN(5/15)/LN(D58/C58))/1000</f>
        <v>0.583</v>
      </c>
      <c r="G58" s="95">
        <v>3</v>
      </c>
      <c r="H58" s="28"/>
    </row>
    <row r="59" spans="1:8" ht="15" customHeight="1">
      <c r="A59" s="96" t="s">
        <v>27</v>
      </c>
      <c r="B59" s="96" t="s">
        <v>62</v>
      </c>
      <c r="C59" s="97">
        <v>120</v>
      </c>
      <c r="D59" s="102">
        <v>50.4</v>
      </c>
      <c r="E59" s="96"/>
      <c r="F59" s="96">
        <f>INT(0.5+1000*LN(5/15)/LN((D59-(0.15*C59))/(C59-(0.15*C59))))/1000</f>
        <v>0.958</v>
      </c>
      <c r="G59" s="98"/>
      <c r="H59" s="28"/>
    </row>
    <row r="60" spans="1:7" ht="15" customHeight="1">
      <c r="A60" s="93" t="s">
        <v>65</v>
      </c>
      <c r="B60" s="1" t="s">
        <v>60</v>
      </c>
      <c r="C60" s="80">
        <v>105</v>
      </c>
      <c r="D60" s="102">
        <v>62.1</v>
      </c>
      <c r="E60" s="1">
        <v>8</v>
      </c>
      <c r="F60" s="1">
        <f>INT(0.5+1000*LN((500-(6*E60))/(1500-(6*E60)))/(LN((D60-6)/(C60-6))))/1000</f>
        <v>2.055</v>
      </c>
      <c r="G60" s="43"/>
    </row>
    <row r="61" spans="1:7" ht="15" customHeight="1">
      <c r="A61" s="93" t="s">
        <v>65</v>
      </c>
      <c r="B61" s="1" t="s">
        <v>61</v>
      </c>
      <c r="C61" s="80">
        <v>9300</v>
      </c>
      <c r="D61" s="102">
        <v>1358</v>
      </c>
      <c r="F61" s="1">
        <f>INT(0.5+1000*LN(5/15)/LN(D61/C61))/1000</f>
        <v>0.571</v>
      </c>
      <c r="G61" s="44">
        <v>3</v>
      </c>
    </row>
    <row r="62" spans="1:8" ht="15" customHeight="1">
      <c r="A62" s="96" t="s">
        <v>65</v>
      </c>
      <c r="B62" s="6" t="s">
        <v>62</v>
      </c>
      <c r="C62" s="64">
        <v>146</v>
      </c>
      <c r="D62" s="102">
        <v>58.65</v>
      </c>
      <c r="E62" s="6"/>
      <c r="F62" s="6">
        <f>INT(0.5+1000*LN(5/15)/LN((D62-(0.15*C62))/(C62-(0.15*C62))))/1000</f>
        <v>0.903</v>
      </c>
      <c r="G62" s="56"/>
      <c r="H62" s="29"/>
    </row>
    <row r="63" spans="1:8" ht="15" customHeight="1">
      <c r="A63" s="93" t="s">
        <v>67</v>
      </c>
      <c r="B63" s="1" t="s">
        <v>60</v>
      </c>
      <c r="C63" s="80">
        <v>109</v>
      </c>
      <c r="D63" s="102">
        <v>71</v>
      </c>
      <c r="E63" s="1">
        <v>8</v>
      </c>
      <c r="F63" s="1">
        <f>INT(0.5+1000*LN((500-(6*E63))/(1500-(6*E63)))/(LN((D63-6)/(C63-6))))/1000</f>
        <v>2.535</v>
      </c>
      <c r="G63" s="43"/>
      <c r="H63" s="28"/>
    </row>
    <row r="64" spans="1:8" ht="15" customHeight="1">
      <c r="A64" s="93" t="s">
        <v>67</v>
      </c>
      <c r="B64" s="1" t="s">
        <v>61</v>
      </c>
      <c r="C64" s="80">
        <v>10610</v>
      </c>
      <c r="D64" s="102">
        <v>1282.5</v>
      </c>
      <c r="F64" s="1">
        <f>INT(0.5+1000*LN(5/15)/LN(D64/C64))/1000</f>
        <v>0.52</v>
      </c>
      <c r="G64" s="44">
        <v>3</v>
      </c>
      <c r="H64" s="28"/>
    </row>
    <row r="65" spans="1:8" ht="15" customHeight="1">
      <c r="A65" s="96" t="s">
        <v>67</v>
      </c>
      <c r="B65" s="6" t="s">
        <v>62</v>
      </c>
      <c r="C65" s="64">
        <v>154</v>
      </c>
      <c r="D65" s="102">
        <v>52.5</v>
      </c>
      <c r="E65" s="6"/>
      <c r="F65" s="6">
        <f>INT(0.5+1000*LN(5/15)/LN((D65-(0.15*C65))/(C65-(0.15*C65))))/1000</f>
        <v>0.736</v>
      </c>
      <c r="G65" s="56"/>
      <c r="H65" s="28"/>
    </row>
    <row r="66" spans="1:7" ht="15" customHeight="1">
      <c r="A66" s="93" t="s">
        <v>42</v>
      </c>
      <c r="B66" s="1" t="s">
        <v>60</v>
      </c>
      <c r="C66" s="80">
        <v>110</v>
      </c>
      <c r="D66" s="102">
        <v>63.45</v>
      </c>
      <c r="E66" s="1">
        <v>8</v>
      </c>
      <c r="F66" s="1">
        <f>INT(0.5+1000*LN((500-(6*E66))/(1500-(6*E66)))/(LN((D66-6)/(C66-6))))/1000</f>
        <v>1.966</v>
      </c>
      <c r="G66" s="43"/>
    </row>
    <row r="67" spans="1:7" ht="15" customHeight="1">
      <c r="A67" s="93" t="s">
        <v>42</v>
      </c>
      <c r="B67" s="1" t="s">
        <v>61</v>
      </c>
      <c r="C67" s="80">
        <v>11260</v>
      </c>
      <c r="D67" s="102">
        <v>850.5</v>
      </c>
      <c r="F67" s="1">
        <f>INT(0.5+1000*LN(5/15)/LN(D67/C67))/1000</f>
        <v>0.425</v>
      </c>
      <c r="G67" s="44">
        <v>3</v>
      </c>
    </row>
    <row r="68" spans="1:8" ht="15" customHeight="1">
      <c r="A68" s="96" t="s">
        <v>42</v>
      </c>
      <c r="B68" s="6" t="s">
        <v>62</v>
      </c>
      <c r="C68" s="64">
        <v>165</v>
      </c>
      <c r="D68" s="102">
        <v>44.7</v>
      </c>
      <c r="E68" s="6"/>
      <c r="F68" s="6">
        <f>INT(0.5+1000*LN(5/15)/LN((D68-(0.15*C68))/(C68-(0.15*C68))))/1000</f>
        <v>0.563</v>
      </c>
      <c r="G68" s="56"/>
      <c r="H68" s="29"/>
    </row>
    <row r="69" spans="1:7" ht="15" customHeight="1">
      <c r="A69" s="93" t="s">
        <v>43</v>
      </c>
      <c r="B69" s="1" t="s">
        <v>60</v>
      </c>
      <c r="C69" s="80">
        <v>112.5</v>
      </c>
      <c r="D69" s="102">
        <v>70.68</v>
      </c>
      <c r="E69" s="1">
        <v>8</v>
      </c>
      <c r="F69" s="1">
        <f>INT(0.5+1000*LN((500-(6*E69))/(1500-(6*E69)))/(LN((D69-6)/(C69-6))))/1000</f>
        <v>2.34</v>
      </c>
      <c r="G69" s="43"/>
    </row>
    <row r="70" spans="1:7" ht="15" customHeight="1">
      <c r="A70" s="93" t="s">
        <v>43</v>
      </c>
      <c r="B70" s="1" t="s">
        <v>61</v>
      </c>
      <c r="C70" s="80">
        <v>11360</v>
      </c>
      <c r="D70" s="102">
        <v>1069.5</v>
      </c>
      <c r="F70" s="1">
        <f>INT(0.5+1000*LN(5/15)/LN(D70/C70))/1000</f>
        <v>0.465</v>
      </c>
      <c r="G70" s="44">
        <v>3</v>
      </c>
    </row>
    <row r="71" spans="1:8" ht="15" customHeight="1">
      <c r="A71" s="96" t="s">
        <v>43</v>
      </c>
      <c r="B71" s="6" t="s">
        <v>62</v>
      </c>
      <c r="C71" s="64">
        <v>158</v>
      </c>
      <c r="D71" s="102">
        <v>60.5</v>
      </c>
      <c r="E71" s="6"/>
      <c r="F71" s="6">
        <f>INT(0.5+1000*LN(5/15)/LN((D71-(0.15*C71))/(C71-(0.15*C71))))/1000</f>
        <v>0.849</v>
      </c>
      <c r="G71" s="56"/>
      <c r="H71" s="29"/>
    </row>
    <row r="72" spans="1:7" ht="15" customHeight="1">
      <c r="A72" s="93" t="s">
        <v>44</v>
      </c>
      <c r="B72" s="1" t="s">
        <v>60</v>
      </c>
      <c r="C72" s="80">
        <v>113</v>
      </c>
      <c r="D72" s="102">
        <v>66.6</v>
      </c>
      <c r="E72" s="1">
        <v>8</v>
      </c>
      <c r="F72" s="1">
        <f>INT(0.5+1000*LN((500-(6*E72))/(1500-(6*E72)))/(LN((D72-6)/(C72-6))))/1000</f>
        <v>2.053</v>
      </c>
      <c r="G72" s="43"/>
    </row>
    <row r="73" spans="1:7" ht="15" customHeight="1">
      <c r="A73" s="93" t="s">
        <v>44</v>
      </c>
      <c r="B73" s="1" t="s">
        <v>61</v>
      </c>
      <c r="C73" s="80">
        <v>8540</v>
      </c>
      <c r="D73" s="102">
        <v>1210</v>
      </c>
      <c r="F73" s="1">
        <f>INT(0.5+1000*LN(5/15)/LN(D73/C73))/1000</f>
        <v>0.562</v>
      </c>
      <c r="G73" s="44">
        <v>3</v>
      </c>
    </row>
    <row r="74" spans="1:8" ht="15" customHeight="1">
      <c r="A74" s="96" t="s">
        <v>44</v>
      </c>
      <c r="B74" s="6" t="s">
        <v>62</v>
      </c>
      <c r="C74" s="64">
        <v>155</v>
      </c>
      <c r="D74" s="102">
        <v>59.75</v>
      </c>
      <c r="E74" s="6"/>
      <c r="F74" s="6">
        <f>INT(0.5+1000*LN(5/15)/LN((D74-(0.15*C74))/(C74-(0.15*C74))))/1000</f>
        <v>0.856</v>
      </c>
      <c r="G74" s="56"/>
      <c r="H74" s="29"/>
    </row>
    <row r="75" spans="1:7" ht="15" customHeight="1">
      <c r="A75" s="93" t="s">
        <v>45</v>
      </c>
      <c r="B75" s="1" t="s">
        <v>60</v>
      </c>
      <c r="C75" s="80">
        <v>104.5</v>
      </c>
      <c r="D75" s="102">
        <v>69.17</v>
      </c>
      <c r="E75" s="1">
        <v>8</v>
      </c>
      <c r="F75" s="1">
        <f>INT(0.5+1000*LN((500-(6*E75))/(1500-(6*E75)))/(LN((D75-6)/(C75-6))))/1000</f>
        <v>2.627</v>
      </c>
      <c r="G75" s="43"/>
    </row>
    <row r="76" spans="1:7" ht="15" customHeight="1">
      <c r="A76" s="93" t="s">
        <v>45</v>
      </c>
      <c r="B76" s="1" t="s">
        <v>61</v>
      </c>
      <c r="C76" s="80">
        <v>5600</v>
      </c>
      <c r="D76" s="102">
        <v>1098</v>
      </c>
      <c r="F76" s="1">
        <f>INT(0.5+1000*LN(5/15)/LN(D76/C76))/1000</f>
        <v>0.674</v>
      </c>
      <c r="G76" s="44">
        <v>3</v>
      </c>
    </row>
    <row r="77" spans="1:8" ht="15" customHeight="1">
      <c r="A77" s="96" t="s">
        <v>45</v>
      </c>
      <c r="B77" s="6" t="s">
        <v>62</v>
      </c>
      <c r="C77" s="64">
        <v>134</v>
      </c>
      <c r="D77" s="102">
        <v>67.65</v>
      </c>
      <c r="E77" s="6"/>
      <c r="F77" s="6">
        <f>INT(0.5+1000*LN(5/15)/LN((D77-(0.15*C77))/(C77-(0.15*C77))))/1000</f>
        <v>1.258</v>
      </c>
      <c r="G77" s="56"/>
      <c r="H77" s="29"/>
    </row>
    <row r="78" spans="1:7" ht="15" customHeight="1">
      <c r="A78" s="93" t="s">
        <v>46</v>
      </c>
      <c r="B78" s="1" t="s">
        <v>60</v>
      </c>
      <c r="C78" s="80">
        <v>98</v>
      </c>
      <c r="D78" s="102">
        <v>64.25</v>
      </c>
      <c r="E78" s="1">
        <v>8</v>
      </c>
      <c r="F78" s="1">
        <f>INT(0.5+1000*LN((500-(6*E78))/(1500-(6*E78)))/(LN((D78-6)/(C78-6))))/1000</f>
        <v>2.553</v>
      </c>
      <c r="G78" s="43"/>
    </row>
    <row r="79" spans="1:7" ht="15" customHeight="1">
      <c r="A79" s="93" t="s">
        <v>46</v>
      </c>
      <c r="B79" s="1" t="s">
        <v>61</v>
      </c>
      <c r="C79" s="80">
        <v>5060</v>
      </c>
      <c r="D79" s="102">
        <v>720.5</v>
      </c>
      <c r="F79" s="1">
        <f>INT(0.5+1000*LN(5/15)/LN(D79/C79))/1000</f>
        <v>0.564</v>
      </c>
      <c r="G79" s="44">
        <v>3</v>
      </c>
    </row>
    <row r="80" spans="1:8" ht="15" customHeight="1">
      <c r="A80" s="96" t="s">
        <v>46</v>
      </c>
      <c r="B80" s="6" t="s">
        <v>62</v>
      </c>
      <c r="C80" s="64">
        <v>116</v>
      </c>
      <c r="D80" s="102">
        <v>39</v>
      </c>
      <c r="E80" s="6"/>
      <c r="F80" s="6">
        <f>INT(0.5+1000*LN(5/15)/LN((D80-(0.15*C80))/(C80-(0.15*C80))))/1000</f>
        <v>0.724</v>
      </c>
      <c r="G80" s="56"/>
      <c r="H80" s="29"/>
    </row>
    <row r="81" spans="1:7" ht="15" customHeight="1">
      <c r="A81" s="93" t="s">
        <v>47</v>
      </c>
      <c r="B81" s="1" t="s">
        <v>60</v>
      </c>
      <c r="C81" s="80">
        <v>94.5</v>
      </c>
      <c r="D81" s="102">
        <v>68</v>
      </c>
      <c r="E81" s="1">
        <v>8</v>
      </c>
      <c r="F81" s="1">
        <f>INT(0.5+1000*LN((500-(6*E81))/(1500-(6*E81)))/(LN((D81-6)/(C81-6))))/1000</f>
        <v>3.279</v>
      </c>
      <c r="G81" s="43"/>
    </row>
    <row r="82" spans="1:7" ht="15" customHeight="1">
      <c r="A82" s="93" t="s">
        <v>47</v>
      </c>
      <c r="B82" s="1" t="s">
        <v>61</v>
      </c>
      <c r="C82" s="80">
        <v>3940</v>
      </c>
      <c r="D82" s="102">
        <v>1497</v>
      </c>
      <c r="F82" s="1">
        <f>INT(0.5+1000*LN(5/15)/LN(D82/C82))/1000</f>
        <v>1.135</v>
      </c>
      <c r="G82" s="44">
        <v>3</v>
      </c>
    </row>
    <row r="83" spans="1:8" ht="15" customHeight="1">
      <c r="A83" s="96" t="s">
        <v>47</v>
      </c>
      <c r="B83" s="6" t="s">
        <v>62</v>
      </c>
      <c r="C83" s="64">
        <v>122</v>
      </c>
      <c r="D83" s="102">
        <v>35.75</v>
      </c>
      <c r="E83" s="6"/>
      <c r="F83" s="6">
        <f>INT(0.5+1000*LN(5/15)/LN((D83-(0.15*C83))/(C83-(0.15*C83))))/1000</f>
        <v>0.616</v>
      </c>
      <c r="G83" s="56"/>
      <c r="H83" s="29"/>
    </row>
    <row r="84" spans="1:7" ht="15" customHeight="1">
      <c r="A84" s="93" t="s">
        <v>48</v>
      </c>
      <c r="B84" s="1" t="s">
        <v>60</v>
      </c>
      <c r="C84" s="80">
        <v>91</v>
      </c>
      <c r="D84" s="102">
        <v>68.38</v>
      </c>
      <c r="E84" s="1">
        <v>8</v>
      </c>
      <c r="F84" s="1">
        <f>INT(0.5+1000*LN((500-(6*E84))/(1500-(6*E84)))/(LN((D84-6)/(C84-6))))/1000</f>
        <v>3.772</v>
      </c>
      <c r="G84" s="43"/>
    </row>
    <row r="85" spans="1:7" ht="15" customHeight="1">
      <c r="A85" s="93" t="s">
        <v>48</v>
      </c>
      <c r="B85" s="1" t="s">
        <v>61</v>
      </c>
      <c r="C85" s="80">
        <v>3540</v>
      </c>
      <c r="D85" s="102">
        <v>1251</v>
      </c>
      <c r="F85" s="1">
        <f>INT(0.5+1000*LN(5/15)/LN(D85/C85))/1000</f>
        <v>1.056</v>
      </c>
      <c r="G85" s="44">
        <v>3</v>
      </c>
    </row>
    <row r="86" spans="1:8" ht="15" customHeight="1">
      <c r="A86" s="96" t="s">
        <v>48</v>
      </c>
      <c r="B86" s="6" t="s">
        <v>62</v>
      </c>
      <c r="C86" s="64">
        <v>103</v>
      </c>
      <c r="D86" s="102">
        <v>74</v>
      </c>
      <c r="E86" s="6"/>
      <c r="F86" s="6">
        <f>INT(0.5+1000*LN(5/15)/LN((D86-(0.15*C86))/(C86-(0.15*C86))))/1000</f>
        <v>2.731</v>
      </c>
      <c r="G86" s="56"/>
      <c r="H86" s="29"/>
    </row>
    <row r="87" spans="1:7" ht="15" customHeight="1">
      <c r="A87" s="93" t="s">
        <v>49</v>
      </c>
      <c r="B87" s="1" t="s">
        <v>60</v>
      </c>
      <c r="C87" s="80">
        <v>80</v>
      </c>
      <c r="D87" s="102">
        <v>62.55</v>
      </c>
      <c r="E87" s="1">
        <v>8</v>
      </c>
      <c r="F87" s="1">
        <f>INT(0.5+1000*LN((500-(6*E87))/(1500-(6*E87)))/(LN((D87-6)/(C87-6))))/1000</f>
        <v>4.339</v>
      </c>
      <c r="G87" s="43"/>
    </row>
    <row r="88" spans="1:7" ht="15" customHeight="1">
      <c r="A88" s="93" t="s">
        <v>49</v>
      </c>
      <c r="B88" s="1" t="s">
        <v>61</v>
      </c>
      <c r="C88" s="80">
        <v>2700</v>
      </c>
      <c r="D88" s="102">
        <v>1422</v>
      </c>
      <c r="F88" s="1">
        <f>INT(0.5+1000*LN(5/15)/LN(D88/C88))/1000</f>
        <v>1.713</v>
      </c>
      <c r="G88" s="44">
        <v>2</v>
      </c>
    </row>
    <row r="89" spans="1:8" ht="15" customHeight="1">
      <c r="A89" s="96" t="s">
        <v>49</v>
      </c>
      <c r="B89" s="6" t="s">
        <v>62</v>
      </c>
      <c r="C89" s="64">
        <v>57</v>
      </c>
      <c r="D89" s="83">
        <v>31.5</v>
      </c>
      <c r="E89" s="6"/>
      <c r="F89" s="6">
        <f>INT(0.5+1000*LN(5/15)/LN((D89-(0.15*C89))/(C89-(0.15*C89))))/1000</f>
        <v>1.47</v>
      </c>
      <c r="G89" s="56"/>
      <c r="H89" s="29"/>
    </row>
    <row r="90" spans="1:7" ht="15" customHeight="1">
      <c r="A90" s="93" t="s">
        <v>50</v>
      </c>
      <c r="B90" s="1" t="s">
        <v>60</v>
      </c>
      <c r="C90" s="80">
        <v>71</v>
      </c>
      <c r="D90" s="102">
        <v>57</v>
      </c>
      <c r="E90" s="1">
        <v>8</v>
      </c>
      <c r="F90" s="1">
        <f>INT(0.5+1000*LN((500-(6*E90))/(1500-(6*E90)))/(LN((D90-6)/(C90-6))))/1000</f>
        <v>4.811</v>
      </c>
      <c r="G90" s="43"/>
    </row>
    <row r="91" spans="1:7" ht="15" customHeight="1">
      <c r="A91" s="93" t="s">
        <v>50</v>
      </c>
      <c r="B91" s="1" t="s">
        <v>61</v>
      </c>
      <c r="C91" s="80">
        <v>1670</v>
      </c>
      <c r="D91" s="102">
        <v>907</v>
      </c>
      <c r="F91" s="1">
        <f>INT(0.5+1000*LN(5/15)/LN(D91/C91))/1000</f>
        <v>1.8</v>
      </c>
      <c r="G91" s="44">
        <v>2</v>
      </c>
    </row>
    <row r="92" spans="1:8" ht="15" customHeight="1">
      <c r="A92" s="96" t="s">
        <v>50</v>
      </c>
      <c r="B92" s="6" t="s">
        <v>62</v>
      </c>
      <c r="C92" s="64">
        <v>45</v>
      </c>
      <c r="D92" s="83">
        <v>30</v>
      </c>
      <c r="E92" s="6"/>
      <c r="F92" s="6">
        <f>INT(0.5+1000*LN(5/15)/LN((D92-(0.15*C92))/(C92-(0.15*C92))))/1000</f>
        <v>2.207</v>
      </c>
      <c r="G92" s="56"/>
      <c r="H92" s="29"/>
    </row>
    <row r="93" spans="1:7" ht="15" customHeight="1">
      <c r="A93" s="93" t="s">
        <v>51</v>
      </c>
      <c r="B93" s="1" t="s">
        <v>60</v>
      </c>
      <c r="C93" s="80">
        <v>56</v>
      </c>
      <c r="D93" s="102">
        <v>23.85</v>
      </c>
      <c r="E93" s="1">
        <v>8</v>
      </c>
      <c r="F93" s="1">
        <f>INT(0.5+1000*LN((500-(6*E93))/(1500-(6*E93)))/(LN((D93-6)/(C93-6))))/1000</f>
        <v>1.133</v>
      </c>
      <c r="G93" s="43"/>
    </row>
    <row r="94" spans="1:7" ht="15" customHeight="1">
      <c r="A94" s="93" t="s">
        <v>51</v>
      </c>
      <c r="B94" s="1" t="s">
        <v>61</v>
      </c>
      <c r="C94" s="80">
        <v>1220</v>
      </c>
      <c r="D94" s="82">
        <v>190</v>
      </c>
      <c r="F94" s="1">
        <f>INT(0.5+1000*LN(5/15)/LN(D94/C94))/1000</f>
        <v>0.591</v>
      </c>
      <c r="G94" s="44">
        <v>2</v>
      </c>
    </row>
    <row r="95" spans="1:8" ht="15" customHeight="1">
      <c r="A95" s="96" t="s">
        <v>51</v>
      </c>
      <c r="B95" s="6" t="s">
        <v>62</v>
      </c>
      <c r="C95" s="64">
        <v>32</v>
      </c>
      <c r="D95" s="83">
        <v>29</v>
      </c>
      <c r="E95" s="6"/>
      <c r="F95" s="6">
        <f>INT(0.5+1000*LN(5/15)/LN((D95-(0.15*C95))/(C95-(0.15*C95))))/1000</f>
        <v>9.401</v>
      </c>
      <c r="G95" s="56"/>
      <c r="H95" s="29"/>
    </row>
    <row r="96" spans="1:7" ht="15" customHeight="1">
      <c r="A96" s="93" t="s">
        <v>52</v>
      </c>
      <c r="B96" s="1" t="s">
        <v>60</v>
      </c>
      <c r="C96" s="80">
        <v>40</v>
      </c>
      <c r="D96" s="82">
        <v>16</v>
      </c>
      <c r="E96" s="1">
        <v>8</v>
      </c>
      <c r="F96" s="1">
        <f>INT(0.5+1000*LN((500-(6*E96))/(1500-(6*E96)))/(LN((D96-6)/(C96-6))))/1000</f>
        <v>0.954</v>
      </c>
      <c r="G96" s="43"/>
    </row>
    <row r="97" spans="1:7" ht="15" customHeight="1">
      <c r="A97" s="93" t="s">
        <v>52</v>
      </c>
      <c r="B97" s="1" t="s">
        <v>61</v>
      </c>
      <c r="C97" s="80">
        <v>1120</v>
      </c>
      <c r="D97" s="82">
        <v>279</v>
      </c>
      <c r="F97" s="1">
        <f>INT(0.5+1000*LN(5/15)/LN(D97/C97))/1000</f>
        <v>0.79</v>
      </c>
      <c r="G97" s="44">
        <v>2</v>
      </c>
    </row>
    <row r="98" spans="1:8" ht="15" customHeight="1">
      <c r="A98" s="96" t="s">
        <v>52</v>
      </c>
      <c r="B98" s="6" t="s">
        <v>62</v>
      </c>
      <c r="C98" s="64">
        <v>22</v>
      </c>
      <c r="D98" s="83">
        <v>20</v>
      </c>
      <c r="E98" s="6"/>
      <c r="F98" s="6">
        <f>INT(0.5+1000*LN(5/15)/LN((D98-(0.15*C98))/(C98-(0.15*C98))))/1000</f>
        <v>9.712</v>
      </c>
      <c r="G98" s="56"/>
      <c r="H98" s="29"/>
    </row>
    <row r="99" spans="1:7" ht="15" customHeight="1">
      <c r="A99" s="93" t="s">
        <v>53</v>
      </c>
      <c r="B99" s="1" t="s">
        <v>60</v>
      </c>
      <c r="C99" s="80">
        <v>122.5</v>
      </c>
      <c r="D99" s="102">
        <v>111</v>
      </c>
      <c r="E99" s="1">
        <v>8</v>
      </c>
      <c r="F99" s="1">
        <f>INT(0.5+1000*LN((500-(6*E99))/(1500-(6*E99)))/(LN((D99-6)/(C99-6))))/1000</f>
        <v>11.229</v>
      </c>
      <c r="G99" s="43"/>
    </row>
    <row r="100" spans="1:7" ht="15" customHeight="1">
      <c r="A100" s="93" t="s">
        <v>53</v>
      </c>
      <c r="B100" s="1" t="s">
        <v>61</v>
      </c>
      <c r="C100" s="80">
        <v>12170</v>
      </c>
      <c r="D100" s="102">
        <v>7173</v>
      </c>
      <c r="F100" s="1">
        <f>INT(0.5+1000*LN(5/15)/LN(D100/C100))/1000</f>
        <v>2.078</v>
      </c>
      <c r="G100" s="44">
        <v>3</v>
      </c>
    </row>
    <row r="101" spans="1:8" ht="15" customHeight="1">
      <c r="A101" s="96" t="s">
        <v>53</v>
      </c>
      <c r="B101" s="6" t="s">
        <v>62</v>
      </c>
      <c r="C101" s="64">
        <v>250</v>
      </c>
      <c r="D101" s="102">
        <v>182.45</v>
      </c>
      <c r="E101" s="6"/>
      <c r="F101" s="6">
        <f>INT(0.5+1000*LN(5/15)/LN((D101-(0.15*C101))/(C101-(0.15*C101))))/1000</f>
        <v>2.872</v>
      </c>
      <c r="G101" s="56"/>
      <c r="H101" s="29"/>
    </row>
    <row r="102" spans="1:7" ht="15" customHeight="1">
      <c r="A102" s="93" t="s">
        <v>54</v>
      </c>
      <c r="B102" s="1" t="s">
        <v>60</v>
      </c>
      <c r="C102" s="80">
        <v>113</v>
      </c>
      <c r="D102" s="102">
        <v>101.67</v>
      </c>
      <c r="E102" s="1">
        <v>8</v>
      </c>
      <c r="F102" s="1">
        <f>INT(0.5+1000*LN((500-(6*E102))/(1500-(6*E102)))/(LN((D102-6)/(C102-6))))/1000</f>
        <v>10.427</v>
      </c>
      <c r="G102" s="43"/>
    </row>
    <row r="103" spans="1:7" ht="15" customHeight="1">
      <c r="A103" s="93" t="s">
        <v>54</v>
      </c>
      <c r="B103" s="1" t="s">
        <v>61</v>
      </c>
      <c r="C103" s="92">
        <v>11360</v>
      </c>
      <c r="D103" s="102">
        <v>6898.5</v>
      </c>
      <c r="F103" s="1">
        <f>INT(0.5+1000*LN(5/15)/LN(D103/C103))/1000</f>
        <v>2.203</v>
      </c>
      <c r="G103" s="44">
        <v>3</v>
      </c>
    </row>
    <row r="104" spans="1:8" ht="15" customHeight="1">
      <c r="A104" s="96" t="s">
        <v>54</v>
      </c>
      <c r="B104" s="6" t="s">
        <v>62</v>
      </c>
      <c r="C104" s="64">
        <v>188</v>
      </c>
      <c r="D104" s="102">
        <v>136.5</v>
      </c>
      <c r="E104" s="6"/>
      <c r="F104" s="6">
        <f>INT(0.5+1000*LN(5/15)/LN((D104-(0.15*C104))/(C104-(0.15*C104))))/1000</f>
        <v>2.824</v>
      </c>
      <c r="G104" s="56"/>
      <c r="H104" s="29"/>
    </row>
    <row r="105" spans="1:8" ht="15" customHeight="1">
      <c r="A105" s="93" t="s">
        <v>55</v>
      </c>
      <c r="B105" s="1" t="s">
        <v>60</v>
      </c>
      <c r="C105" s="80">
        <v>115.5</v>
      </c>
      <c r="D105" s="102">
        <v>104.67</v>
      </c>
      <c r="E105" s="1">
        <v>8</v>
      </c>
      <c r="F105" s="1">
        <f>INT(0.5+1000*LN((500-(6*E105))/(1500-(6*E105)))/(LN((D105-6)/(C105-6))))/1000</f>
        <v>11.206</v>
      </c>
      <c r="H105" s="28"/>
    </row>
    <row r="106" spans="1:8" ht="15" customHeight="1">
      <c r="A106" s="93" t="s">
        <v>55</v>
      </c>
      <c r="B106" s="1" t="s">
        <v>61</v>
      </c>
      <c r="C106" s="80">
        <v>11570</v>
      </c>
      <c r="D106" s="102">
        <v>3008.5</v>
      </c>
      <c r="F106" s="1">
        <f>INT(0.5+1000*LN(5/15)/LN(D106/C106))/1000</f>
        <v>0.816</v>
      </c>
      <c r="G106" s="44">
        <v>3</v>
      </c>
      <c r="H106" s="28"/>
    </row>
    <row r="107" spans="1:8" ht="15" customHeight="1">
      <c r="A107" s="96" t="s">
        <v>55</v>
      </c>
      <c r="B107" s="6" t="s">
        <v>62</v>
      </c>
      <c r="C107" s="64">
        <v>215</v>
      </c>
      <c r="D107" s="102">
        <v>198</v>
      </c>
      <c r="E107" s="6"/>
      <c r="F107" s="6">
        <f>INT(0.5+1000*LN(5/15)/LN((D107-(0.15*C107))/(C107-(0.15*C107))))/1000</f>
        <v>11.252</v>
      </c>
      <c r="G107" s="59"/>
      <c r="H107" s="28"/>
    </row>
    <row r="108" spans="1:6" ht="15" customHeight="1">
      <c r="A108" s="103" t="s">
        <v>63</v>
      </c>
      <c r="B108" s="1" t="s">
        <v>60</v>
      </c>
      <c r="C108" s="80">
        <v>113</v>
      </c>
      <c r="D108" s="102">
        <v>92</v>
      </c>
      <c r="E108" s="1">
        <v>8</v>
      </c>
      <c r="F108" s="1">
        <f>INT(0.5+1000*LN((500-(6*E108))/(1500-(6*E108)))/(LN((D108-6)/(C108-6))))/1000</f>
        <v>5.341</v>
      </c>
    </row>
    <row r="109" spans="1:7" ht="15" customHeight="1">
      <c r="A109" s="103" t="s">
        <v>63</v>
      </c>
      <c r="B109" s="1" t="s">
        <v>61</v>
      </c>
      <c r="C109" s="80">
        <v>8540</v>
      </c>
      <c r="D109" s="102">
        <v>4107.5</v>
      </c>
      <c r="F109" s="1">
        <f>INT(0.5+1000*LN(5/15)/LN(D109/C109))/1000</f>
        <v>1.501</v>
      </c>
      <c r="G109" s="44">
        <v>3</v>
      </c>
    </row>
    <row r="110" spans="1:7" ht="15" customHeight="1">
      <c r="A110" s="104" t="s">
        <v>63</v>
      </c>
      <c r="B110" s="6" t="s">
        <v>62</v>
      </c>
      <c r="C110" s="64">
        <v>155</v>
      </c>
      <c r="D110" s="102">
        <v>90.5</v>
      </c>
      <c r="E110" s="6"/>
      <c r="F110" s="6">
        <f>INT(0.5+1000*LN(5/15)/LN((D110-(0.15*C110))/(C110-(0.15*C110))))/1000</f>
        <v>1.634</v>
      </c>
      <c r="G110" s="59"/>
    </row>
  </sheetData>
  <sheetProtection password="9137" sheet="1"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American Water Ski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Clark</dc:creator>
  <cp:keywords/>
  <dc:description/>
  <cp:lastModifiedBy>Kirby Whetsel</cp:lastModifiedBy>
  <cp:lastPrinted>2003-07-17T01:06:46Z</cp:lastPrinted>
  <dcterms:created xsi:type="dcterms:W3CDTF">2003-07-04T18:54:36Z</dcterms:created>
  <dcterms:modified xsi:type="dcterms:W3CDTF">2024-04-30T04:01:47Z</dcterms:modified>
  <cp:category/>
  <cp:version/>
  <cp:contentType/>
  <cp:contentStatus/>
</cp:coreProperties>
</file>