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whet\OneDrive\Documents\NOPS Calculators\"/>
    </mc:Choice>
  </mc:AlternateContent>
  <xr:revisionPtr revIDLastSave="0" documentId="13_ncr:1_{4DC972F0-34D0-44A1-9C17-112D84DE8440}" xr6:coauthVersionLast="47" xr6:coauthVersionMax="47" xr10:uidLastSave="{00000000-0000-0000-0000-000000000000}"/>
  <workbookProtection workbookAlgorithmName="SHA-512" workbookHashValue="P0Vvydg167n29LVZIzXr9owaX3wo4DL1iarwZkUUF4ieyptuW/4hMKrlhTAM1TcSg8b6HNiVKs21KsDCQn60Gg==" workbookSaltValue="yyxvSSCFAMENElXUXcmSYw==" workbookSpinCount="100000" lockStructure="1"/>
  <bookViews>
    <workbookView xWindow="-108" yWindow="-108" windowWidth="23256" windowHeight="12456" tabRatio="719" xr2:uid="{00BCF5C5-EC2E-426D-AB54-F4CBB9F1EB5A}"/>
  </bookViews>
  <sheets>
    <sheet name="2026 NOPS Calculator" sheetId="1" r:id="rId1"/>
    <sheet name="Calculation Data" sheetId="2" state="hidden" r:id="rId2"/>
    <sheet name="NOPS Data" sheetId="3" state="hidden" r:id="rId3"/>
  </sheets>
  <definedNames>
    <definedName name="Data_Key">'NOPS Data'!$A$2</definedName>
    <definedName name="Div_List">'NOPS Data'!$A$2:$A$110</definedName>
    <definedName name="Div_Row">'Calculation Data'!$C$3</definedName>
    <definedName name="Division">'Calculation Data'!$C$2</definedName>
    <definedName name="Input_List">'Calculation Data'!$A$2:$A$37</definedName>
    <definedName name="JMP_Exp">'Calculation Data'!$G$8</definedName>
    <definedName name="JMP_Recd">'Calculation Data'!$D$8</definedName>
    <definedName name="Jump">'2026 NOPS Calculator'!$E$12:$G$12</definedName>
    <definedName name="Jump_Score">'2026 NOPS Calculator'!$E$6</definedName>
    <definedName name="NOPS_List">'Calculation Data'!$A$2:$A$35</definedName>
    <definedName name="OA_Actual">'Calculation Data'!$H$10</definedName>
    <definedName name="OA_Reqd">'Calculation Data'!$H$12</definedName>
    <definedName name="OARatings">'2026 NOPS Calculator'!$G$9:$G$9</definedName>
    <definedName name="Overall">'2026 NOPS Calculator'!#REF!</definedName>
    <definedName name="Overall_Score">'2026 NOPS Calculator'!$F$7</definedName>
    <definedName name="Ratings">'2026 NOPS Calculator'!$E$9:$G$9</definedName>
    <definedName name="Slalom">'2026 NOPS Calculator'!$E$10:$G$10</definedName>
    <definedName name="Slalom_Score">'2026 NOPS Calculator'!$E$4</definedName>
    <definedName name="SLM_Exp">'Calculation Data'!$G$5</definedName>
    <definedName name="SLM_Pts">'Calculation Data'!$F$5</definedName>
    <definedName name="Slm_Recd">'Calculation Data'!$D$5</definedName>
    <definedName name="Trick">'2026 NOPS Calculator'!$E$11:$G$11</definedName>
    <definedName name="Trick_Score">'2026 NOPS Calculator'!$E$5</definedName>
    <definedName name="TRK_Exp">'Calculation Data'!$G$7</definedName>
    <definedName name="Trk_Recd">'Calculation Data'!$D$7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3" l="1"/>
  <c r="F64" i="3"/>
  <c r="F63" i="3"/>
  <c r="F17" i="3"/>
  <c r="F16" i="3"/>
  <c r="F15" i="3"/>
  <c r="F59" i="3"/>
  <c r="F58" i="3"/>
  <c r="F57" i="3"/>
  <c r="F11" i="3"/>
  <c r="F10" i="3"/>
  <c r="F9" i="3"/>
  <c r="F3" i="3"/>
  <c r="F4" i="3"/>
  <c r="F6" i="3"/>
  <c r="F7" i="3"/>
  <c r="F8" i="3"/>
  <c r="F12" i="3"/>
  <c r="F13" i="3"/>
  <c r="F14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4" i="3"/>
  <c r="F55" i="3"/>
  <c r="F56" i="3"/>
  <c r="F60" i="3"/>
  <c r="F61" i="3"/>
  <c r="F62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C2" i="2"/>
  <c r="C3" i="2" s="1"/>
  <c r="H5" i="2"/>
  <c r="H7" i="2"/>
  <c r="H8" i="2"/>
  <c r="D10" i="1"/>
  <c r="D11" i="1"/>
  <c r="H10" i="2" l="1"/>
  <c r="E8" i="2"/>
  <c r="E12" i="1" s="1"/>
  <c r="D5" i="2"/>
  <c r="F10" i="1" s="1"/>
  <c r="C8" i="2"/>
  <c r="B8" i="2"/>
  <c r="B10" i="2" s="1"/>
  <c r="H12" i="2"/>
  <c r="C7" i="2"/>
  <c r="D7" i="2"/>
  <c r="F11" i="1" s="1"/>
  <c r="B5" i="2"/>
  <c r="C10" i="1" s="1"/>
  <c r="B7" i="2"/>
  <c r="C11" i="1" s="1"/>
  <c r="F5" i="2"/>
  <c r="E5" i="2"/>
  <c r="E10" i="1" s="1"/>
  <c r="C5" i="2"/>
  <c r="E7" i="2"/>
  <c r="E11" i="1" s="1"/>
  <c r="D8" i="2"/>
  <c r="F12" i="1" s="1"/>
  <c r="G7" i="2"/>
  <c r="G5" i="2"/>
  <c r="G8" i="2"/>
  <c r="D6" i="1"/>
  <c r="D12" i="1" s="1"/>
  <c r="F5" i="1" l="1"/>
  <c r="C12" i="1"/>
  <c r="F6" i="1"/>
  <c r="F4" i="1"/>
  <c r="F7" i="1" l="1"/>
</calcChain>
</file>

<file path=xl/sharedStrings.xml><?xml version="1.0" encoding="utf-8"?>
<sst xmlns="http://schemas.openxmlformats.org/spreadsheetml/2006/main" count="295" uniqueCount="69">
  <si>
    <t>Division</t>
  </si>
  <si>
    <t>Score</t>
  </si>
  <si>
    <t>NOPS</t>
  </si>
  <si>
    <t>A  W  S  A</t>
  </si>
  <si>
    <t>Slalom</t>
  </si>
  <si>
    <t>Trick</t>
  </si>
  <si>
    <t>Ski Year</t>
  </si>
  <si>
    <t xml:space="preserve">Overall </t>
  </si>
  <si>
    <r>
      <t xml:space="preserve">Overall  </t>
    </r>
    <r>
      <rPr>
        <b/>
        <sz val="8"/>
        <rFont val="Arial"/>
        <family val="2"/>
      </rPr>
      <t>(NOPS)</t>
    </r>
    <r>
      <rPr>
        <b/>
        <sz val="10"/>
        <rFont val="Arial"/>
        <family val="2"/>
      </rPr>
      <t xml:space="preserve">      </t>
    </r>
  </si>
  <si>
    <t>Event</t>
  </si>
  <si>
    <t>Median</t>
  </si>
  <si>
    <t>Record</t>
  </si>
  <si>
    <t xml:space="preserve">   Calculator    </t>
  </si>
  <si>
    <t xml:space="preserve">    Records as of</t>
  </si>
  <si>
    <t>Div List</t>
  </si>
  <si>
    <t>NOPS Calculation Table for Selected Division</t>
  </si>
  <si>
    <t>B1</t>
  </si>
  <si>
    <t>Division =</t>
  </si>
  <si>
    <t>Base</t>
  </si>
  <si>
    <t>Exp</t>
  </si>
  <si>
    <t>Ev Sc?</t>
  </si>
  <si>
    <t>B2</t>
  </si>
  <si>
    <t>Div_Row =</t>
  </si>
  <si>
    <t>0/1</t>
  </si>
  <si>
    <t>B3</t>
  </si>
  <si>
    <t>G1</t>
  </si>
  <si>
    <t>G2</t>
  </si>
  <si>
    <t>G3</t>
  </si>
  <si>
    <t>O/A</t>
  </si>
  <si>
    <t xml:space="preserve">  # Ev w/Scrs =</t>
  </si>
  <si>
    <t>M1</t>
  </si>
  <si>
    <t xml:space="preserve">  # Ev for O/A =</t>
  </si>
  <si>
    <t>M2</t>
  </si>
  <si>
    <t>M3</t>
  </si>
  <si>
    <t>M4</t>
  </si>
  <si>
    <t>M5</t>
  </si>
  <si>
    <t>M6</t>
  </si>
  <si>
    <t>M7</t>
  </si>
  <si>
    <t>M8</t>
  </si>
  <si>
    <t>M9</t>
  </si>
  <si>
    <t>MA</t>
  </si>
  <si>
    <t>MB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</si>
  <si>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</si>
  <si>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</si>
  <si>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</si>
  <si>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</si>
  <si>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</si>
  <si>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</si>
  <si>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</si>
  <si>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</si>
  <si>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</si>
  <si>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WA</t>
  </si>
  <si>
    <t>WB</t>
  </si>
  <si>
    <t>OM</t>
  </si>
  <si>
    <t>OW</t>
  </si>
  <si>
    <t>MM</t>
  </si>
  <si>
    <t>Rating Levels</t>
  </si>
  <si>
    <t>Overall Factors</t>
  </si>
  <si>
    <t># Evts</t>
  </si>
  <si>
    <t>Req'd</t>
  </si>
  <si>
    <t>S</t>
  </si>
  <si>
    <t>T</t>
  </si>
  <si>
    <t>J</t>
  </si>
  <si>
    <t>MW</t>
  </si>
  <si>
    <t>B4</t>
  </si>
  <si>
    <t>G4</t>
  </si>
  <si>
    <t>B5</t>
  </si>
  <si>
    <t>G5</t>
  </si>
  <si>
    <t>August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</si>
</sst>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42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3" fillId="15" borderId="0" applyNumberFormat="0" applyBorder="0" applyAlignment="0" applyProtection="0"/>
    <xf numFmtId="0" fontId="17" fillId="16" borderId="1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7" borderId="1" applyNumberFormat="0" applyAlignment="0" applyProtection="0"/>
    <xf numFmtId="0" fontId="18" fillId="0" borderId="6" applyNumberFormat="0" applyFill="0" applyAlignment="0" applyProtection="0"/>
    <xf numFmtId="0" fontId="14" fillId="7" borderId="0" applyNumberFormat="0" applyBorder="0" applyAlignment="0" applyProtection="0"/>
    <xf numFmtId="0" fontId="2" fillId="4" borderId="7" applyNumberFormat="0" applyFont="0" applyAlignment="0" applyProtection="0"/>
    <xf numFmtId="0" fontId="16" fillId="16" borderId="8" applyNumberFormat="0" applyAlignment="0" applyProtection="0"/>
    <xf numFmtId="0" fontId="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18" borderId="10" xfId="0" applyFill="1" applyBorder="1" applyAlignment="1">
      <alignment horizontal="center"/>
    </xf>
    <xf numFmtId="0" fontId="0" fillId="18" borderId="11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164" fontId="0" fillId="18" borderId="12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18" borderId="17" xfId="0" applyFill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18" borderId="18" xfId="0" applyFill="1" applyBorder="1" applyAlignment="1" applyProtection="1">
      <alignment horizontal="center"/>
    </xf>
    <xf numFmtId="0" fontId="0" fillId="18" borderId="19" xfId="0" applyFill="1" applyBorder="1" applyAlignment="1">
      <alignment horizontal="center"/>
    </xf>
    <xf numFmtId="0" fontId="0" fillId="18" borderId="16" xfId="0" applyFill="1" applyBorder="1" applyAlignment="1" applyProtection="1">
      <alignment horizontal="center"/>
    </xf>
    <xf numFmtId="0" fontId="0" fillId="18" borderId="16" xfId="0" applyFill="1" applyBorder="1"/>
    <xf numFmtId="0" fontId="0" fillId="18" borderId="20" xfId="0" applyFill="1" applyBorder="1"/>
    <xf numFmtId="0" fontId="0" fillId="18" borderId="21" xfId="0" applyFill="1" applyBorder="1" applyAlignment="1">
      <alignment horizontal="center"/>
    </xf>
    <xf numFmtId="0" fontId="0" fillId="18" borderId="22" xfId="0" applyFill="1" applyBorder="1" applyAlignment="1">
      <alignment horizontal="center"/>
    </xf>
    <xf numFmtId="0" fontId="2" fillId="0" borderId="20" xfId="0" applyFont="1" applyBorder="1" applyAlignment="1" applyProtection="1">
      <alignment horizontal="right"/>
    </xf>
    <xf numFmtId="0" fontId="0" fillId="0" borderId="16" xfId="0" applyBorder="1" applyAlignment="1" applyProtection="1">
      <alignment horizontal="center"/>
      <protection locked="0" hidden="1"/>
    </xf>
    <xf numFmtId="0" fontId="0" fillId="18" borderId="23" xfId="0" applyFill="1" applyBorder="1" applyAlignment="1">
      <alignment horizontal="center"/>
    </xf>
    <xf numFmtId="0" fontId="0" fillId="18" borderId="24" xfId="0" applyFill="1" applyBorder="1" applyAlignment="1">
      <alignment horizontal="center"/>
    </xf>
    <xf numFmtId="164" fontId="0" fillId="18" borderId="25" xfId="0" applyNumberFormat="1" applyFill="1" applyBorder="1" applyAlignment="1">
      <alignment horizontal="center"/>
    </xf>
    <xf numFmtId="0" fontId="0" fillId="0" borderId="0" xfId="0" applyBorder="1"/>
    <xf numFmtId="0" fontId="0" fillId="0" borderId="13" xfId="0" applyBorder="1"/>
    <xf numFmtId="164" fontId="0" fillId="0" borderId="0" xfId="0" applyNumberFormat="1"/>
    <xf numFmtId="164" fontId="4" fillId="0" borderId="0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8" xfId="0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6" fillId="0" borderId="0" xfId="0" applyNumberFormat="1" applyFont="1" applyAlignment="1"/>
    <xf numFmtId="164" fontId="4" fillId="0" borderId="13" xfId="0" applyNumberFormat="1" applyFon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0" fillId="18" borderId="28" xfId="0" applyFill="1" applyBorder="1" applyAlignment="1">
      <alignment horizontal="left"/>
    </xf>
    <xf numFmtId="0" fontId="0" fillId="18" borderId="36" xfId="0" applyFill="1" applyBorder="1" applyAlignment="1">
      <alignment horizontal="center"/>
    </xf>
    <xf numFmtId="0" fontId="0" fillId="18" borderId="37" xfId="0" applyFill="1" applyBorder="1" applyAlignment="1">
      <alignment horizontal="center"/>
    </xf>
    <xf numFmtId="0" fontId="0" fillId="18" borderId="38" xfId="0" applyFill="1" applyBorder="1" applyAlignment="1">
      <alignment horizontal="center"/>
    </xf>
    <xf numFmtId="0" fontId="0" fillId="18" borderId="39" xfId="0" applyFill="1" applyBorder="1" applyAlignment="1">
      <alignment horizontal="center"/>
    </xf>
    <xf numFmtId="0" fontId="3" fillId="0" borderId="20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164" fontId="0" fillId="0" borderId="13" xfId="0" applyNumberFormat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3" xfId="0" applyNumberFormat="1" applyBorder="1"/>
    <xf numFmtId="0" fontId="0" fillId="0" borderId="0" xfId="0" applyFill="1"/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/>
    <xf numFmtId="0" fontId="25" fillId="0" borderId="13" xfId="0" applyNumberFormat="1" applyFont="1" applyFill="1" applyBorder="1" applyAlignment="1">
      <alignment horizontal="center"/>
    </xf>
    <xf numFmtId="0" fontId="0" fillId="19" borderId="40" xfId="0" applyFill="1" applyBorder="1"/>
    <xf numFmtId="0" fontId="0" fillId="19" borderId="41" xfId="0" applyFill="1" applyBorder="1"/>
    <xf numFmtId="0" fontId="0" fillId="19" borderId="42" xfId="0" applyFill="1" applyBorder="1"/>
    <xf numFmtId="0" fontId="0" fillId="19" borderId="43" xfId="0" applyFill="1" applyBorder="1"/>
    <xf numFmtId="0" fontId="0" fillId="19" borderId="0" xfId="0" applyFill="1" applyBorder="1"/>
    <xf numFmtId="0" fontId="3" fillId="19" borderId="0" xfId="0" applyFont="1" applyFill="1" applyBorder="1" applyAlignment="1"/>
    <xf numFmtId="0" fontId="0" fillId="19" borderId="44" xfId="0" applyFill="1" applyBorder="1"/>
    <xf numFmtId="0" fontId="0" fillId="19" borderId="45" xfId="0" applyFill="1" applyBorder="1"/>
    <xf numFmtId="0" fontId="0" fillId="19" borderId="46" xfId="0" applyFill="1" applyBorder="1"/>
    <xf numFmtId="0" fontId="0" fillId="19" borderId="47" xfId="0" applyFill="1" applyBorder="1"/>
    <xf numFmtId="0" fontId="3" fillId="19" borderId="0" xfId="0" applyFont="1" applyFill="1" applyBorder="1" applyAlignment="1">
      <alignment horizontal="centerContinuous"/>
    </xf>
    <xf numFmtId="0" fontId="0" fillId="19" borderId="0" xfId="0" applyFill="1" applyBorder="1" applyAlignment="1">
      <alignment horizontal="center"/>
    </xf>
    <xf numFmtId="0" fontId="7" fillId="19" borderId="0" xfId="0" applyFont="1" applyFill="1" applyBorder="1" applyAlignment="1"/>
    <xf numFmtId="0" fontId="7" fillId="19" borderId="0" xfId="0" applyFont="1" applyFill="1" applyBorder="1" applyAlignment="1">
      <alignment vertical="top"/>
    </xf>
    <xf numFmtId="49" fontId="2" fillId="0" borderId="0" xfId="0" applyNumberFormat="1" applyFont="1" applyAlignment="1">
      <alignment horizontal="center"/>
    </xf>
    <xf numFmtId="0" fontId="25" fillId="0" borderId="0" xfId="0" applyNumberFormat="1" applyFont="1" applyFill="1" applyAlignment="1">
      <alignment horizontal="center"/>
    </xf>
    <xf numFmtId="0" fontId="0" fillId="0" borderId="13" xfId="0" applyFill="1" applyBorder="1"/>
    <xf numFmtId="0" fontId="25" fillId="0" borderId="0" xfId="0" applyFont="1" applyFill="1" applyAlignment="1">
      <alignment horizontal="center"/>
    </xf>
    <xf numFmtId="0" fontId="25" fillId="0" borderId="13" xfId="0" applyFont="1" applyFill="1" applyBorder="1" applyAlignment="1">
      <alignment horizontal="center"/>
    </xf>
    <xf numFmtId="15" fontId="7" fillId="19" borderId="0" xfId="0" quotePrefix="1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centerContinuous"/>
    </xf>
    <xf numFmtId="0" fontId="0" fillId="0" borderId="1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ill="1"/>
    <xf numFmtId="49" fontId="0" fillId="0" borderId="0" xfId="0" applyNumberFormat="1" applyFont="1" applyAlignment="1">
      <alignment horizontal="center"/>
    </xf>
    <xf numFmtId="0" fontId="2" fillId="0" borderId="16" xfId="0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25" fillId="20" borderId="0" xfId="0" applyNumberFormat="1" applyFont="1" applyFill="1" applyAlignment="1">
      <alignment horizontal="center"/>
    </xf>
    <xf numFmtId="0" fontId="0" fillId="20" borderId="0" xfId="0" applyFill="1" applyAlignment="1">
      <alignment horizontal="center"/>
    </xf>
    <xf numFmtId="164" fontId="0" fillId="20" borderId="0" xfId="0" applyNumberFormat="1" applyFill="1" applyAlignment="1">
      <alignment horizontal="center"/>
    </xf>
    <xf numFmtId="1" fontId="0" fillId="20" borderId="0" xfId="0" applyNumberFormat="1" applyFill="1" applyAlignment="1">
      <alignment horizontal="center"/>
    </xf>
    <xf numFmtId="0" fontId="0" fillId="20" borderId="13" xfId="0" applyFill="1" applyBorder="1" applyAlignment="1">
      <alignment horizontal="center"/>
    </xf>
    <xf numFmtId="0" fontId="25" fillId="20" borderId="13" xfId="0" applyNumberFormat="1" applyFont="1" applyFill="1" applyBorder="1" applyAlignment="1">
      <alignment horizontal="center"/>
    </xf>
    <xf numFmtId="164" fontId="0" fillId="20" borderId="13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0" fontId="0" fillId="20" borderId="0" xfId="0" applyFill="1"/>
    <xf numFmtId="0" fontId="0" fillId="20" borderId="13" xfId="0" applyFill="1" applyBorder="1"/>
    <xf numFmtId="0" fontId="2" fillId="20" borderId="0" xfId="0" applyFont="1" applyFill="1" applyAlignment="1">
      <alignment horizontal="center"/>
    </xf>
    <xf numFmtId="0" fontId="2" fillId="20" borderId="13" xfId="0" applyFont="1" applyFill="1" applyBorder="1" applyAlignment="1">
      <alignment horizontal="center"/>
    </xf>
    <xf numFmtId="2" fontId="0" fillId="0" borderId="11" xfId="0" applyNumberFormat="1" applyFill="1" applyBorder="1"/>
    <xf numFmtId="0" fontId="26" fillId="0" borderId="13" xfId="0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13" xfId="0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6" dropStyle="combo" dx="26" fmlaLink="'2026 NOPS Calculator'!$C$4" fmlaRange="Input_List" noThreeD="1" sel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0</xdr:colOff>
          <xdr:row>4</xdr:row>
          <xdr:rowOff>7620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0A5D-11CF-4ED0-ADE5-9135B4F04BF4}">
  <sheetPr codeName="Sheet1">
    <pageSetUpPr autoPageBreaks="0"/>
  </sheetPr>
  <dimension ref="B1:M20"/>
  <sheetViews>
    <sheetView showGridLines="0" tabSelected="1" workbookViewId="0">
      <selection activeCell="E7" sqref="E7"/>
    </sheetView>
  </sheetViews>
  <sheetFormatPr defaultRowHeight="13.2" x14ac:dyDescent="0.25"/>
  <cols>
    <col min="1" max="1" width="0.88671875" customWidth="1"/>
    <col min="2" max="2" width="2.5546875" customWidth="1"/>
    <col min="3" max="3" width="7.44140625" customWidth="1"/>
    <col min="4" max="6" width="7.5546875" customWidth="1"/>
    <col min="7" max="7" width="3.5546875" customWidth="1"/>
    <col min="8" max="8" width="2.5546875" customWidth="1"/>
    <col min="9" max="10" width="7.44140625" customWidth="1"/>
    <col min="11" max="13" width="2.5546875" customWidth="1"/>
  </cols>
  <sheetData>
    <row r="1" spans="2:13" ht="5.0999999999999996" customHeight="1" thickBot="1" x14ac:dyDescent="0.3"/>
    <row r="2" spans="2:13" ht="14.4" thickTop="1" thickBot="1" x14ac:dyDescent="0.3">
      <c r="B2" s="71"/>
      <c r="C2" s="72"/>
      <c r="D2" s="72"/>
      <c r="E2" s="72"/>
      <c r="F2" s="72"/>
      <c r="G2" s="72"/>
      <c r="H2" s="72"/>
      <c r="I2" s="72"/>
      <c r="J2" s="73"/>
    </row>
    <row r="3" spans="2:13" x14ac:dyDescent="0.25">
      <c r="B3" s="67"/>
      <c r="C3" s="16" t="s">
        <v>0</v>
      </c>
      <c r="D3" s="14"/>
      <c r="E3" s="14" t="s">
        <v>1</v>
      </c>
      <c r="F3" s="17" t="s">
        <v>2</v>
      </c>
      <c r="G3" s="68"/>
      <c r="H3" s="68"/>
      <c r="I3" s="74" t="s">
        <v>3</v>
      </c>
      <c r="J3" s="70"/>
    </row>
    <row r="4" spans="2:13" x14ac:dyDescent="0.25">
      <c r="B4" s="67"/>
      <c r="C4" s="24">
        <v>10</v>
      </c>
      <c r="D4" s="4" t="s">
        <v>4</v>
      </c>
      <c r="E4" s="15">
        <v>92</v>
      </c>
      <c r="F4" s="5">
        <f ca="1">INT(0.5+10*IF(Slalom_Score&lt;6,(Slalom_Score*SLM_Pts),(6*SLM_Pts)+((1500-(6*SLM_Pts))*((Slalom_Score-6)/(Slm_Recd-6))^SLM_Exp)))/10</f>
        <v>955.3</v>
      </c>
      <c r="G4" s="68"/>
      <c r="H4" s="68"/>
      <c r="I4" s="68"/>
      <c r="J4" s="70"/>
    </row>
    <row r="5" spans="2:13" x14ac:dyDescent="0.25">
      <c r="B5" s="67"/>
      <c r="C5" s="18"/>
      <c r="D5" s="4" t="s">
        <v>5</v>
      </c>
      <c r="E5" s="61">
        <v>2200</v>
      </c>
      <c r="F5" s="5">
        <f ca="1">INT(0.5+15000*((Trick_Score/Trk_Recd)^TRK_Exp))/10</f>
        <v>631.4</v>
      </c>
      <c r="G5" s="68"/>
      <c r="H5" s="68"/>
      <c r="I5" s="74" t="s">
        <v>6</v>
      </c>
      <c r="J5" s="70"/>
    </row>
    <row r="6" spans="2:13" x14ac:dyDescent="0.25">
      <c r="B6" s="67"/>
      <c r="C6" s="19"/>
      <c r="D6" s="4" t="str">
        <f>IF(OR(Division="B1",Division="G1"),"--","Jump")</f>
        <v>Jump</v>
      </c>
      <c r="E6" s="15">
        <v>130</v>
      </c>
      <c r="F6" s="5">
        <f ca="1">INT(0.5+10*IF(Jump_Score&lt;(0.15*JMP_Recd),0,1500*(((Jump_Score-(0.15*JMP_Recd))/(JMP_Recd-(0.15*JMP_Recd)))^JMP_Exp)))/10</f>
        <v>1218.0999999999999</v>
      </c>
      <c r="G6" s="68"/>
      <c r="H6" s="68"/>
      <c r="I6" s="74">
        <v>2026</v>
      </c>
      <c r="J6" s="70"/>
    </row>
    <row r="7" spans="2:13" ht="13.8" thickBot="1" x14ac:dyDescent="0.3">
      <c r="B7" s="67"/>
      <c r="C7" s="20"/>
      <c r="D7" s="2" t="s">
        <v>7</v>
      </c>
      <c r="E7" s="48"/>
      <c r="F7" s="27">
        <f ca="1">IF(OR(Division="G1",Division="B1"),SUM(F4:F5),SUM(F4:F6))</f>
        <v>2804.7999999999997</v>
      </c>
      <c r="G7" s="68"/>
      <c r="H7" s="68"/>
      <c r="I7" s="68"/>
      <c r="J7" s="70"/>
    </row>
    <row r="8" spans="2:13" ht="13.8" thickBot="1" x14ac:dyDescent="0.3">
      <c r="B8" s="67"/>
      <c r="C8" s="68"/>
      <c r="D8" s="68"/>
      <c r="E8" s="68"/>
      <c r="F8" s="68"/>
      <c r="G8" s="68"/>
      <c r="H8" s="69" t="s">
        <v>8</v>
      </c>
      <c r="I8" s="69"/>
      <c r="J8" s="70"/>
    </row>
    <row r="9" spans="2:13" x14ac:dyDescent="0.25">
      <c r="B9" s="67"/>
      <c r="C9" s="21" t="s">
        <v>0</v>
      </c>
      <c r="D9" s="22" t="s">
        <v>9</v>
      </c>
      <c r="E9" s="22" t="s">
        <v>10</v>
      </c>
      <c r="F9" s="49" t="s">
        <v>11</v>
      </c>
      <c r="G9" s="75"/>
      <c r="H9" s="69" t="s">
        <v>12</v>
      </c>
      <c r="I9" s="69"/>
      <c r="J9" s="70"/>
    </row>
    <row r="10" spans="2:13" x14ac:dyDescent="0.25">
      <c r="B10" s="67"/>
      <c r="C10" s="25" t="str">
        <f ca="1">'Calculation Data'!B5</f>
        <v>G5</v>
      </c>
      <c r="D10" s="3" t="str">
        <f>D4</f>
        <v>Slalom</v>
      </c>
      <c r="E10" s="3">
        <f ca="1">'Calculation Data'!E5</f>
        <v>71.83</v>
      </c>
      <c r="F10" s="50">
        <f ca="1">'Calculation Data'!D5</f>
        <v>109</v>
      </c>
      <c r="G10" s="75"/>
      <c r="H10" s="68"/>
      <c r="I10" s="68"/>
      <c r="J10" s="70"/>
      <c r="M10" s="60"/>
    </row>
    <row r="11" spans="2:13" x14ac:dyDescent="0.25">
      <c r="B11" s="67"/>
      <c r="C11" s="25" t="str">
        <f ca="1">'Calculation Data'!B7</f>
        <v>G5</v>
      </c>
      <c r="D11" s="3" t="str">
        <f>D5</f>
        <v>Trick</v>
      </c>
      <c r="E11" s="3">
        <f ca="1">'Calculation Data'!E7</f>
        <v>1438.5</v>
      </c>
      <c r="F11" s="50">
        <f ca="1">'Calculation Data'!D7</f>
        <v>10610</v>
      </c>
      <c r="G11" s="75"/>
      <c r="H11" s="76" t="s">
        <v>13</v>
      </c>
      <c r="I11" s="77"/>
      <c r="J11" s="70"/>
    </row>
    <row r="12" spans="2:13" ht="13.8" thickBot="1" x14ac:dyDescent="0.3">
      <c r="B12" s="67"/>
      <c r="C12" s="52" t="str">
        <f ca="1">IF(OR(Division="B1",Division="G1"),"--",'Calculation Data'!B8)</f>
        <v>G5</v>
      </c>
      <c r="D12" s="26" t="str">
        <f>D6</f>
        <v>Jump</v>
      </c>
      <c r="E12" s="26">
        <f ca="1">IF(OR(Division="B1",Division="G1"),"--",'Calculation Data'!E8)</f>
        <v>68.05</v>
      </c>
      <c r="F12" s="51">
        <f ca="1">IF(OR(Division="B1",Division="G1"),"--",'Calculation Data'!D8)</f>
        <v>154</v>
      </c>
      <c r="G12" s="75"/>
      <c r="H12" s="83" t="s">
        <v>68</v>
      </c>
      <c r="I12" s="87"/>
      <c r="J12" s="70"/>
    </row>
    <row r="13" spans="2:13" ht="13.8" thickBot="1" x14ac:dyDescent="0.3">
      <c r="B13" s="64"/>
      <c r="C13" s="65"/>
      <c r="D13" s="65"/>
      <c r="E13" s="65"/>
      <c r="F13" s="65"/>
      <c r="G13" s="65"/>
      <c r="H13" s="65"/>
      <c r="I13" s="65"/>
      <c r="J13" s="66"/>
    </row>
    <row r="14" spans="2:13" ht="13.8" thickTop="1" x14ac:dyDescent="0.25"/>
    <row r="19" spans="9:10" x14ac:dyDescent="0.25">
      <c r="J19" s="28"/>
    </row>
    <row r="20" spans="9:10" x14ac:dyDescent="0.25">
      <c r="I20" s="62"/>
    </row>
  </sheetData>
  <sheetProtection algorithmName="SHA-512" hashValue="aiB6Az5kxHuhDvQMzkHQSW1ZnbwrV0KRMuHY7xmb3SzlUiftMet8OchuB3M0F/buNQT+VbPLx8bXHtqnSfJRIQ==" saltValue="eEChdwfMT04PGnRrjQH7Rg==" spinCount="100000" sheet="1" objects="1" scenarios="1"/>
  <phoneticPr fontId="7" type="noConversion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3" name="Drop Down 6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1E3F-8764-4B3D-B7A7-EBCA6772318D}">
  <sheetPr codeName="Sheet2"/>
  <dimension ref="A1:H41"/>
  <sheetViews>
    <sheetView workbookViewId="0">
      <selection activeCell="B18" sqref="B18"/>
    </sheetView>
  </sheetViews>
  <sheetFormatPr defaultRowHeight="13.2" x14ac:dyDescent="0.25"/>
  <cols>
    <col min="2" max="2" width="10.44140625" customWidth="1"/>
    <col min="3" max="3" width="4.5546875" customWidth="1"/>
    <col min="4" max="7" width="7.44140625" customWidth="1"/>
    <col min="8" max="8" width="6.5546875" customWidth="1"/>
  </cols>
  <sheetData>
    <row r="1" spans="1:8" ht="13.8" thickBot="1" x14ac:dyDescent="0.3">
      <c r="A1" s="11" t="s">
        <v>14</v>
      </c>
      <c r="B1" s="53" t="s">
        <v>15</v>
      </c>
      <c r="C1" s="54"/>
      <c r="D1" s="54"/>
      <c r="E1" s="54"/>
      <c r="F1" s="54"/>
      <c r="G1" s="54"/>
      <c r="H1" s="54"/>
    </row>
    <row r="2" spans="1:8" x14ac:dyDescent="0.25">
      <c r="A2" s="13" t="s">
        <v>16</v>
      </c>
      <c r="B2" s="36" t="s">
        <v>17</v>
      </c>
      <c r="C2" s="12" t="str">
        <f>INDEX(Input_List,'2026 NOPS Calculator'!C4)</f>
        <v>G5</v>
      </c>
      <c r="D2" s="12" t="s">
        <v>11</v>
      </c>
      <c r="E2" s="12" t="s">
        <v>10</v>
      </c>
      <c r="F2" s="12" t="s">
        <v>18</v>
      </c>
      <c r="G2" s="12" t="s">
        <v>19</v>
      </c>
      <c r="H2" s="40" t="s">
        <v>20</v>
      </c>
    </row>
    <row r="3" spans="1:8" ht="13.8" thickBot="1" x14ac:dyDescent="0.3">
      <c r="A3" s="13" t="s">
        <v>21</v>
      </c>
      <c r="B3" s="23" t="s">
        <v>22</v>
      </c>
      <c r="C3" s="37">
        <f>MATCH(Division,Div_List,0)-1</f>
        <v>61</v>
      </c>
      <c r="D3" s="11"/>
      <c r="E3" s="11">
        <v>0</v>
      </c>
      <c r="F3" s="11">
        <v>0</v>
      </c>
      <c r="G3" s="11">
        <v>0</v>
      </c>
      <c r="H3" s="41" t="s">
        <v>23</v>
      </c>
    </row>
    <row r="4" spans="1:8" ht="13.8" thickBot="1" x14ac:dyDescent="0.3">
      <c r="A4" s="13" t="s">
        <v>24</v>
      </c>
      <c r="B4" s="89"/>
      <c r="C4" s="90"/>
      <c r="D4" s="7"/>
      <c r="E4" s="7"/>
      <c r="F4" s="7"/>
      <c r="G4" s="7"/>
      <c r="H4" s="9"/>
    </row>
    <row r="5" spans="1:8" x14ac:dyDescent="0.25">
      <c r="A5" s="13" t="s">
        <v>64</v>
      </c>
      <c r="B5" s="10" t="str">
        <f ca="1">OFFSET(Data_Key,Div_Row,0)</f>
        <v>G5</v>
      </c>
      <c r="C5" s="39" t="str">
        <f ca="1">OFFSET(Data_Key,Div_Row,1)</f>
        <v>S</v>
      </c>
      <c r="D5" s="7">
        <f ca="1">OFFSET(Data_Key,Div_Row,2)</f>
        <v>109</v>
      </c>
      <c r="E5" s="7">
        <f ca="1">OFFSET(Data_Key,Div_Row,3)</f>
        <v>71.83</v>
      </c>
      <c r="F5" s="7">
        <f ca="1">OFFSET(Data_Key,Div_Row,4)</f>
        <v>8</v>
      </c>
      <c r="G5" s="38">
        <f ca="1">OFFSET(Data_Key,Div_Row,5)</f>
        <v>2.6070000000000002</v>
      </c>
      <c r="H5" s="9">
        <f>IF(Slalom_Score="",0,1)</f>
        <v>1</v>
      </c>
    </row>
    <row r="6" spans="1:8" x14ac:dyDescent="0.25">
      <c r="A6" s="13" t="s">
        <v>66</v>
      </c>
      <c r="B6" s="10"/>
      <c r="C6" s="8"/>
      <c r="D6" s="7"/>
      <c r="E6" s="7"/>
      <c r="F6" s="7"/>
      <c r="G6" s="35"/>
      <c r="H6" s="9"/>
    </row>
    <row r="7" spans="1:8" x14ac:dyDescent="0.25">
      <c r="A7" s="13" t="s">
        <v>25</v>
      </c>
      <c r="B7" s="10" t="str">
        <f ca="1">OFFSET(Data_Key,Div_Row+1,0)</f>
        <v>G5</v>
      </c>
      <c r="C7" s="8" t="str">
        <f ca="1">OFFSET(Data_Key,Div_Row+1,1)</f>
        <v>T</v>
      </c>
      <c r="D7" s="7">
        <f ca="1">OFFSET(Data_Key,Div_Row+1,2)</f>
        <v>10610</v>
      </c>
      <c r="E7" s="7">
        <f ca="1">OFFSET(Data_Key,Div_Row+1,3)</f>
        <v>1438.5</v>
      </c>
      <c r="F7" s="7"/>
      <c r="G7" s="35">
        <f ca="1">OFFSET(Data_Key,Div_Row+1,5)</f>
        <v>0.55000000000000004</v>
      </c>
      <c r="H7" s="9">
        <f>IF(Trick_Score="",0,1)</f>
        <v>1</v>
      </c>
    </row>
    <row r="8" spans="1:8" ht="13.8" thickBot="1" x14ac:dyDescent="0.3">
      <c r="A8" s="13" t="s">
        <v>26</v>
      </c>
      <c r="B8" s="10" t="str">
        <f ca="1">OFFSET(Data_Key,Div_Row+2,0)</f>
        <v>G5</v>
      </c>
      <c r="C8" s="8" t="str">
        <f ca="1">OFFSET(Data_Key,Div_Row+2,1)</f>
        <v>J</v>
      </c>
      <c r="D8" s="11">
        <f ca="1">OFFSET(Data_Key,Div_Row+2,2)</f>
        <v>154</v>
      </c>
      <c r="E8" s="11">
        <f ca="1">OFFSET(Data_Key,Div_Row+2,3)</f>
        <v>68.05</v>
      </c>
      <c r="F8" s="11"/>
      <c r="G8" s="34">
        <f ca="1">OFFSET(Data_Key,Div_Row+2,5)</f>
        <v>1.028</v>
      </c>
      <c r="H8" s="42">
        <f>IF(Jump_Score="",0,1)</f>
        <v>1</v>
      </c>
    </row>
    <row r="9" spans="1:8" x14ac:dyDescent="0.25">
      <c r="A9" s="13" t="s">
        <v>27</v>
      </c>
      <c r="B9" s="10"/>
      <c r="C9" s="8"/>
      <c r="D9" s="7"/>
      <c r="E9" s="7"/>
      <c r="F9" s="7"/>
      <c r="G9" s="7"/>
      <c r="H9" s="9"/>
    </row>
    <row r="10" spans="1:8" ht="13.8" thickBot="1" x14ac:dyDescent="0.3">
      <c r="A10" s="13" t="s">
        <v>65</v>
      </c>
      <c r="B10" s="32" t="str">
        <f ca="1">B8</f>
        <v>G5</v>
      </c>
      <c r="C10" s="33" t="s">
        <v>28</v>
      </c>
      <c r="E10" s="58"/>
      <c r="F10" t="s">
        <v>29</v>
      </c>
      <c r="H10" s="41">
        <f>SUM(H5:H8)</f>
        <v>3</v>
      </c>
    </row>
    <row r="11" spans="1:8" ht="13.8" thickBot="1" x14ac:dyDescent="0.3">
      <c r="A11" s="13" t="s">
        <v>67</v>
      </c>
      <c r="B11" s="7"/>
      <c r="C11" s="28"/>
      <c r="E11" s="58"/>
      <c r="H11" s="41"/>
    </row>
    <row r="12" spans="1:8" ht="13.8" thickBot="1" x14ac:dyDescent="0.3">
      <c r="A12" s="13" t="s">
        <v>30</v>
      </c>
      <c r="F12" s="45" t="s">
        <v>31</v>
      </c>
      <c r="H12" s="47">
        <f ca="1">OFFSET(Data_Key,Div_Row+1,6)</f>
        <v>3</v>
      </c>
    </row>
    <row r="13" spans="1:8" x14ac:dyDescent="0.25">
      <c r="A13" s="13" t="s">
        <v>32</v>
      </c>
    </row>
    <row r="14" spans="1:8" x14ac:dyDescent="0.25">
      <c r="A14" s="13" t="s">
        <v>33</v>
      </c>
    </row>
    <row r="15" spans="1:8" x14ac:dyDescent="0.25">
      <c r="A15" s="13" t="s">
        <v>34</v>
      </c>
    </row>
    <row r="16" spans="1:8" x14ac:dyDescent="0.25">
      <c r="A16" s="13" t="s">
        <v>35</v>
      </c>
    </row>
    <row r="17" spans="1:1" x14ac:dyDescent="0.25">
      <c r="A17" s="13" t="s">
        <v>36</v>
      </c>
    </row>
    <row r="18" spans="1:1" x14ac:dyDescent="0.25">
      <c r="A18" s="13" t="s">
        <v>37</v>
      </c>
    </row>
    <row r="19" spans="1:1" x14ac:dyDescent="0.25">
      <c r="A19" s="13" t="s">
        <v>38</v>
      </c>
    </row>
    <row r="20" spans="1:1" x14ac:dyDescent="0.25">
      <c r="A20" s="13" t="s">
        <v>39</v>
      </c>
    </row>
    <row r="21" spans="1:1" x14ac:dyDescent="0.25">
      <c r="A21" s="13" t="s">
        <v>40</v>
      </c>
    </row>
    <row r="22" spans="1:1" x14ac:dyDescent="0.25">
      <c r="A22" s="13" t="s">
        <v>41</v>
      </c>
    </row>
    <row r="23" spans="1:1" x14ac:dyDescent="0.25">
      <c r="A23" s="13" t="s">
        <v>42</v>
      </c>
    </row>
    <row r="24" spans="1:1" x14ac:dyDescent="0.25">
      <c r="A24" s="13" t="s">
        <v>43</v>
      </c>
    </row>
    <row r="25" spans="1:1" x14ac:dyDescent="0.25">
      <c r="A25" s="13" t="s">
        <v>44</v>
      </c>
    </row>
    <row r="26" spans="1:1" x14ac:dyDescent="0.25">
      <c r="A26" s="13" t="s">
        <v>45</v>
      </c>
    </row>
    <row r="27" spans="1:1" x14ac:dyDescent="0.25">
      <c r="A27" s="13" t="s">
        <v>46</v>
      </c>
    </row>
    <row r="28" spans="1:1" x14ac:dyDescent="0.25">
      <c r="A28" s="13" t="s">
        <v>47</v>
      </c>
    </row>
    <row r="29" spans="1:1" x14ac:dyDescent="0.25">
      <c r="A29" s="13" t="s">
        <v>48</v>
      </c>
    </row>
    <row r="30" spans="1:1" x14ac:dyDescent="0.25">
      <c r="A30" s="13" t="s">
        <v>49</v>
      </c>
    </row>
    <row r="31" spans="1:1" x14ac:dyDescent="0.25">
      <c r="A31" s="13" t="s">
        <v>50</v>
      </c>
    </row>
    <row r="32" spans="1:1" x14ac:dyDescent="0.25">
      <c r="A32" s="13" t="s">
        <v>51</v>
      </c>
    </row>
    <row r="33" spans="1:1" x14ac:dyDescent="0.25">
      <c r="A33" s="13" t="s">
        <v>52</v>
      </c>
    </row>
    <row r="34" spans="1:1" x14ac:dyDescent="0.25">
      <c r="A34" s="13" t="s">
        <v>53</v>
      </c>
    </row>
    <row r="35" spans="1:1" x14ac:dyDescent="0.25">
      <c r="A35" s="13" t="s">
        <v>54</v>
      </c>
    </row>
    <row r="36" spans="1:1" x14ac:dyDescent="0.25">
      <c r="A36" s="78" t="s">
        <v>55</v>
      </c>
    </row>
    <row r="37" spans="1:1" x14ac:dyDescent="0.25">
      <c r="A37" s="78" t="s">
        <v>63</v>
      </c>
    </row>
    <row r="38" spans="1:1" x14ac:dyDescent="0.25">
      <c r="A38" s="88" t="s">
        <v>27</v>
      </c>
    </row>
    <row r="39" spans="1:1" x14ac:dyDescent="0.25">
      <c r="A39" s="88" t="s">
        <v>24</v>
      </c>
    </row>
    <row r="40" spans="1:1" x14ac:dyDescent="0.25">
      <c r="A40" s="88" t="s">
        <v>66</v>
      </c>
    </row>
    <row r="41" spans="1:1" x14ac:dyDescent="0.25">
      <c r="A41" s="88" t="s">
        <v>67</v>
      </c>
    </row>
  </sheetData>
  <phoneticPr fontId="7" type="noConversion"/>
  <pageMargins left="0.75" right="0.75" top="1" bottom="1" header="0.5" footer="0.5"/>
  <pageSetup orientation="portrait" horizontalDpi="4294967295" verticalDpi="0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3EA4B-28C0-4B6E-BBC9-84D5F00EAE21}">
  <sheetPr codeName="Sheet3"/>
  <dimension ref="A1:H110"/>
  <sheetViews>
    <sheetView zoomScaleNormal="100" workbookViewId="0">
      <pane xSplit="2" ySplit="2" topLeftCell="C44" activePane="bottomRight" state="frozen"/>
      <selection pane="topRight" activeCell="C1" sqref="C1"/>
      <selection pane="bottomLeft" activeCell="A3" sqref="A3"/>
      <selection pane="bottomRight" activeCell="F65" sqref="F65"/>
    </sheetView>
  </sheetViews>
  <sheetFormatPr defaultRowHeight="13.2" x14ac:dyDescent="0.25"/>
  <cols>
    <col min="1" max="1" width="7.44140625" style="92" customWidth="1"/>
    <col min="2" max="2" width="5.44140625" style="1" customWidth="1"/>
    <col min="3" max="3" width="7.44140625" style="86" customWidth="1"/>
    <col min="4" max="6" width="7.44140625" style="1" customWidth="1"/>
    <col min="7" max="7" width="7.44140625" style="30" customWidth="1"/>
    <col min="8" max="8" width="1.5546875" customWidth="1"/>
  </cols>
  <sheetData>
    <row r="1" spans="1:8" ht="15" customHeight="1" x14ac:dyDescent="0.3">
      <c r="C1" s="84" t="s">
        <v>56</v>
      </c>
      <c r="D1" s="55"/>
      <c r="E1" s="55" t="s">
        <v>57</v>
      </c>
      <c r="F1" s="55"/>
      <c r="G1" s="31" t="s">
        <v>58</v>
      </c>
    </row>
    <row r="2" spans="1:8" ht="15" customHeight="1" x14ac:dyDescent="0.3">
      <c r="A2" s="95" t="s">
        <v>0</v>
      </c>
      <c r="B2" s="6" t="s">
        <v>9</v>
      </c>
      <c r="C2" s="85" t="s">
        <v>11</v>
      </c>
      <c r="D2" s="57" t="s">
        <v>10</v>
      </c>
      <c r="E2" s="6" t="s">
        <v>18</v>
      </c>
      <c r="F2" s="6" t="s">
        <v>19</v>
      </c>
      <c r="G2" s="46" t="s">
        <v>59</v>
      </c>
    </row>
    <row r="3" spans="1:8" ht="15" customHeight="1" x14ac:dyDescent="0.25">
      <c r="A3" s="92" t="s">
        <v>16</v>
      </c>
      <c r="B3" s="1" t="s">
        <v>60</v>
      </c>
      <c r="C3" s="79">
        <v>85</v>
      </c>
      <c r="D3" s="103">
        <v>43.67</v>
      </c>
      <c r="E3" s="1">
        <v>24</v>
      </c>
      <c r="F3" s="105">
        <f>INT(0.5+1000*LN((500-(6*E3))/(1500-(6*E3)))/(LN((D3-6)/(C3-6))))/1000</f>
        <v>1.806</v>
      </c>
      <c r="G3" s="43"/>
    </row>
    <row r="4" spans="1:8" ht="15" customHeight="1" x14ac:dyDescent="0.25">
      <c r="A4" s="92" t="s">
        <v>16</v>
      </c>
      <c r="B4" s="1" t="s">
        <v>61</v>
      </c>
      <c r="C4" s="91">
        <v>6130</v>
      </c>
      <c r="D4" s="103">
        <v>369</v>
      </c>
      <c r="F4" s="105">
        <f>INT(0.5+1000*LN(5/15)/LN(D4/C4))/1000</f>
        <v>0.39100000000000001</v>
      </c>
      <c r="G4" s="44">
        <v>2</v>
      </c>
    </row>
    <row r="5" spans="1:8" ht="15" customHeight="1" x14ac:dyDescent="0.25">
      <c r="A5" s="95" t="s">
        <v>16</v>
      </c>
      <c r="B5" s="6" t="s">
        <v>62</v>
      </c>
      <c r="C5" s="63">
        <v>999</v>
      </c>
      <c r="D5" s="104">
        <v>999</v>
      </c>
      <c r="E5" s="6"/>
      <c r="F5" s="106">
        <v>0</v>
      </c>
      <c r="G5" s="56"/>
      <c r="H5" s="29"/>
    </row>
    <row r="6" spans="1:8" s="99" customFormat="1" ht="15" customHeight="1" x14ac:dyDescent="0.25">
      <c r="A6" s="92" t="s">
        <v>21</v>
      </c>
      <c r="B6" s="92" t="s">
        <v>60</v>
      </c>
      <c r="C6" s="79">
        <v>91</v>
      </c>
      <c r="D6" s="103">
        <v>57.83</v>
      </c>
      <c r="E6" s="92">
        <v>8</v>
      </c>
      <c r="F6" s="105">
        <f>INT(0.5+1000*LN((500-(6*E6))/(1500-(6*E6)))/(LN((D6-6)/(C6-6))))/1000</f>
        <v>2.359</v>
      </c>
      <c r="G6" s="93"/>
    </row>
    <row r="7" spans="1:8" s="99" customFormat="1" ht="15" customHeight="1" x14ac:dyDescent="0.25">
      <c r="A7" s="92" t="s">
        <v>21</v>
      </c>
      <c r="B7" s="92" t="s">
        <v>61</v>
      </c>
      <c r="C7" s="91">
        <v>8930</v>
      </c>
      <c r="D7" s="103">
        <v>1130.5</v>
      </c>
      <c r="E7" s="92"/>
      <c r="F7" s="105">
        <f>INT(0.5+1000*LN(5/15)/LN(D7/C7))/1000</f>
        <v>0.53200000000000003</v>
      </c>
      <c r="G7" s="94">
        <v>3</v>
      </c>
    </row>
    <row r="8" spans="1:8" s="99" customFormat="1" ht="15" customHeight="1" x14ac:dyDescent="0.25">
      <c r="A8" s="95" t="s">
        <v>21</v>
      </c>
      <c r="B8" s="95" t="s">
        <v>62</v>
      </c>
      <c r="C8" s="96">
        <v>119</v>
      </c>
      <c r="D8" s="103">
        <v>41.6</v>
      </c>
      <c r="E8" s="95"/>
      <c r="F8" s="106">
        <f>INT(0.5+1000*LN(5/15)/LN((D8-(0.15*C8))/(C8-(0.15*C8))))/1000</f>
        <v>0.75800000000000001</v>
      </c>
      <c r="G8" s="97"/>
      <c r="H8" s="100"/>
    </row>
    <row r="9" spans="1:8" ht="15" customHeight="1" x14ac:dyDescent="0.25">
      <c r="A9" s="98" t="s">
        <v>24</v>
      </c>
      <c r="B9" s="92" t="s">
        <v>60</v>
      </c>
      <c r="C9" s="91">
        <v>104.5</v>
      </c>
      <c r="D9" s="103">
        <v>74.099999999999994</v>
      </c>
      <c r="E9" s="92">
        <v>8</v>
      </c>
      <c r="F9" s="105">
        <f>INT(0.5+1000*LN((500-(6*E9))/(1500-(6*E9)))/(LN((D9-6)/(C9-6))))/1000</f>
        <v>3.1619999999999999</v>
      </c>
      <c r="G9" s="93"/>
      <c r="H9" s="28"/>
    </row>
    <row r="10" spans="1:8" ht="15" customHeight="1" x14ac:dyDescent="0.25">
      <c r="A10" s="98" t="s">
        <v>24</v>
      </c>
      <c r="B10" s="92" t="s">
        <v>61</v>
      </c>
      <c r="C10" s="91">
        <v>11100</v>
      </c>
      <c r="D10" s="103">
        <v>1452.5</v>
      </c>
      <c r="E10" s="92"/>
      <c r="F10" s="105">
        <f>INT(0.5+1000*LN(5/15)/LN(D10/C10))/1000</f>
        <v>0.54</v>
      </c>
      <c r="G10" s="94">
        <v>3</v>
      </c>
      <c r="H10" s="28"/>
    </row>
    <row r="11" spans="1:8" ht="15" customHeight="1" x14ac:dyDescent="0.25">
      <c r="A11" s="98" t="s">
        <v>24</v>
      </c>
      <c r="B11" s="95" t="s">
        <v>62</v>
      </c>
      <c r="C11" s="96">
        <v>144</v>
      </c>
      <c r="D11" s="103">
        <v>55.6</v>
      </c>
      <c r="E11" s="95"/>
      <c r="F11" s="106">
        <f>INT(0.5+1000*LN(5/15)/LN((D11-(0.15*C11))/(C11-(0.15*C11))))/1000</f>
        <v>0.85799999999999998</v>
      </c>
      <c r="G11" s="97"/>
      <c r="H11" s="28"/>
    </row>
    <row r="12" spans="1:8" ht="15" customHeight="1" x14ac:dyDescent="0.25">
      <c r="A12" s="92" t="s">
        <v>64</v>
      </c>
      <c r="B12" s="1" t="s">
        <v>60</v>
      </c>
      <c r="C12" s="79">
        <v>115</v>
      </c>
      <c r="D12" s="103">
        <v>81.92</v>
      </c>
      <c r="E12" s="1">
        <v>8</v>
      </c>
      <c r="F12" s="105">
        <f>INT(0.5+1000*LN((500-(6*E12))/(1500-(6*E12)))/(LN((D12-6)/(C12-6))))/1000</f>
        <v>3.2269999999999999</v>
      </c>
      <c r="G12" s="43"/>
    </row>
    <row r="13" spans="1:8" ht="15" customHeight="1" x14ac:dyDescent="0.25">
      <c r="A13" s="92" t="s">
        <v>64</v>
      </c>
      <c r="B13" s="1" t="s">
        <v>61</v>
      </c>
      <c r="C13" s="79">
        <v>11490</v>
      </c>
      <c r="D13" s="103">
        <v>1558.5</v>
      </c>
      <c r="F13" s="105">
        <f>INT(0.5+1000*LN(5/15)/LN(D13/C13))/1000</f>
        <v>0.55000000000000004</v>
      </c>
      <c r="G13" s="44">
        <v>3</v>
      </c>
    </row>
    <row r="14" spans="1:8" ht="15" customHeight="1" x14ac:dyDescent="0.25">
      <c r="A14" s="95" t="s">
        <v>64</v>
      </c>
      <c r="B14" s="6" t="s">
        <v>62</v>
      </c>
      <c r="C14" s="63">
        <v>191</v>
      </c>
      <c r="D14" s="103">
        <v>82.35</v>
      </c>
      <c r="E14" s="6"/>
      <c r="F14" s="106">
        <f>INT(0.5+1000*LN(5/15)/LN((D14-(0.15*C14))/(C14-(0.15*C14))))/1000</f>
        <v>0.99299999999999999</v>
      </c>
      <c r="G14" s="56"/>
      <c r="H14" s="29"/>
    </row>
    <row r="15" spans="1:8" ht="15" customHeight="1" x14ac:dyDescent="0.25">
      <c r="A15" s="92" t="s">
        <v>66</v>
      </c>
      <c r="B15" s="1" t="s">
        <v>60</v>
      </c>
      <c r="C15" s="79">
        <v>117</v>
      </c>
      <c r="D15" s="103">
        <v>83.6</v>
      </c>
      <c r="E15" s="1">
        <v>8</v>
      </c>
      <c r="F15" s="105">
        <f>INT(0.5+1000*LN((500-(6*E15))/(1500-(6*E15)))/(LN((D15-6)/(C15-6))))/1000</f>
        <v>3.26</v>
      </c>
      <c r="G15" s="43"/>
      <c r="H15" s="28"/>
    </row>
    <row r="16" spans="1:8" ht="15" customHeight="1" x14ac:dyDescent="0.25">
      <c r="A16" s="92" t="s">
        <v>66</v>
      </c>
      <c r="B16" s="1" t="s">
        <v>61</v>
      </c>
      <c r="C16" s="79">
        <v>13020</v>
      </c>
      <c r="D16" s="103">
        <v>1737</v>
      </c>
      <c r="F16" s="105">
        <f>INT(0.5+1000*LN(5/15)/LN(D16/C16))/1000</f>
        <v>0.54500000000000004</v>
      </c>
      <c r="G16" s="44">
        <v>3</v>
      </c>
      <c r="H16" s="28"/>
    </row>
    <row r="17" spans="1:8" ht="15" customHeight="1" x14ac:dyDescent="0.25">
      <c r="A17" s="95" t="s">
        <v>66</v>
      </c>
      <c r="B17" s="6" t="s">
        <v>62</v>
      </c>
      <c r="C17" s="63">
        <v>193</v>
      </c>
      <c r="D17" s="103">
        <v>87.85</v>
      </c>
      <c r="E17" s="6"/>
      <c r="F17" s="106">
        <f>INT(0.5+1000*LN(5/15)/LN((D17-(0.15*C17))/(C17-(0.15*C17))))/1000</f>
        <v>1.073</v>
      </c>
      <c r="G17" s="56"/>
      <c r="H17" s="28"/>
    </row>
    <row r="18" spans="1:8" ht="15" customHeight="1" x14ac:dyDescent="0.25">
      <c r="A18" s="92" t="s">
        <v>30</v>
      </c>
      <c r="B18" s="1" t="s">
        <v>60</v>
      </c>
      <c r="C18" s="79">
        <v>122.5</v>
      </c>
      <c r="D18" s="103">
        <v>76.430000000000007</v>
      </c>
      <c r="E18" s="1">
        <v>8</v>
      </c>
      <c r="F18" s="105">
        <f>INT(0.5+1000*LN((500-(6*E18))/(1500-(6*E18)))/(LN((D18-6)/(C18-6))))/1000</f>
        <v>2.319</v>
      </c>
      <c r="G18" s="43"/>
    </row>
    <row r="19" spans="1:8" ht="15" customHeight="1" x14ac:dyDescent="0.25">
      <c r="A19" s="92" t="s">
        <v>30</v>
      </c>
      <c r="B19" s="1" t="s">
        <v>61</v>
      </c>
      <c r="C19" s="79">
        <v>11620</v>
      </c>
      <c r="D19" s="103">
        <v>747</v>
      </c>
      <c r="F19" s="105">
        <f>INT(0.5+1000*LN(5/15)/LN(D19/C19))/1000</f>
        <v>0.4</v>
      </c>
      <c r="G19" s="44">
        <v>3</v>
      </c>
    </row>
    <row r="20" spans="1:8" ht="15" customHeight="1" x14ac:dyDescent="0.25">
      <c r="A20" s="95" t="s">
        <v>30</v>
      </c>
      <c r="B20" s="6" t="s">
        <v>62</v>
      </c>
      <c r="C20" s="63">
        <v>218</v>
      </c>
      <c r="D20" s="103">
        <v>70.2</v>
      </c>
      <c r="E20" s="6"/>
      <c r="F20" s="106">
        <f>INT(0.5+1000*LN(5/15)/LN((D20-(0.15*C20))/(C20-(0.15*C20))))/1000</f>
        <v>0.68799999999999994</v>
      </c>
      <c r="G20" s="56"/>
      <c r="H20" s="29"/>
    </row>
    <row r="21" spans="1:8" ht="15" customHeight="1" x14ac:dyDescent="0.25">
      <c r="A21" s="92" t="s">
        <v>32</v>
      </c>
      <c r="B21" s="1" t="s">
        <v>60</v>
      </c>
      <c r="C21" s="79">
        <v>122</v>
      </c>
      <c r="D21" s="103">
        <v>84.15</v>
      </c>
      <c r="E21" s="1">
        <v>8</v>
      </c>
      <c r="F21" s="105">
        <f>INT(0.5+1000*LN((500-(6*E21))/(1500-(6*E21)))/(LN((D21-6)/(C21-6))))/1000</f>
        <v>2.9550000000000001</v>
      </c>
      <c r="G21" s="43"/>
    </row>
    <row r="22" spans="1:8" ht="15" customHeight="1" x14ac:dyDescent="0.25">
      <c r="A22" s="92" t="s">
        <v>32</v>
      </c>
      <c r="B22" s="1" t="s">
        <v>61</v>
      </c>
      <c r="C22" s="79">
        <v>12170</v>
      </c>
      <c r="D22" s="103">
        <v>1373</v>
      </c>
      <c r="F22" s="105">
        <f>INT(0.5+1000*LN(5/15)/LN(D22/C22))/1000</f>
        <v>0.503</v>
      </c>
      <c r="G22" s="44">
        <v>3</v>
      </c>
    </row>
    <row r="23" spans="1:8" ht="15" customHeight="1" x14ac:dyDescent="0.25">
      <c r="A23" s="95" t="s">
        <v>32</v>
      </c>
      <c r="B23" s="6" t="s">
        <v>62</v>
      </c>
      <c r="C23" s="63">
        <v>216</v>
      </c>
      <c r="D23" s="103">
        <v>107.1</v>
      </c>
      <c r="E23" s="6"/>
      <c r="F23" s="106">
        <f>INT(0.5+1000*LN(5/15)/LN((D23-(0.15*C23))/(C23-(0.15*C23))))/1000</f>
        <v>1.222</v>
      </c>
      <c r="G23" s="56"/>
      <c r="H23" s="29"/>
    </row>
    <row r="24" spans="1:8" ht="15" customHeight="1" x14ac:dyDescent="0.25">
      <c r="A24" s="92" t="s">
        <v>33</v>
      </c>
      <c r="B24" s="1" t="s">
        <v>60</v>
      </c>
      <c r="C24" s="79">
        <v>115.5</v>
      </c>
      <c r="D24" s="103">
        <v>82</v>
      </c>
      <c r="E24" s="1">
        <v>8</v>
      </c>
      <c r="F24" s="105">
        <f>INT(0.5+1000*LN((500-(6*E24))/(1500-(6*E24)))/(LN((D24-6)/(C24-6))))/1000</f>
        <v>3.1960000000000002</v>
      </c>
      <c r="G24" s="43"/>
    </row>
    <row r="25" spans="1:8" ht="15" customHeight="1" x14ac:dyDescent="0.25">
      <c r="A25" s="92" t="s">
        <v>33</v>
      </c>
      <c r="B25" s="1" t="s">
        <v>61</v>
      </c>
      <c r="C25" s="79">
        <v>12070</v>
      </c>
      <c r="D25" s="103">
        <v>902</v>
      </c>
      <c r="F25" s="105">
        <f>INT(0.5+1000*LN(5/15)/LN(D25/C25))/1000</f>
        <v>0.42399999999999999</v>
      </c>
      <c r="G25" s="44">
        <v>3</v>
      </c>
    </row>
    <row r="26" spans="1:8" ht="15" customHeight="1" x14ac:dyDescent="0.25">
      <c r="A26" s="95" t="s">
        <v>33</v>
      </c>
      <c r="B26" s="6" t="s">
        <v>62</v>
      </c>
      <c r="C26" s="63">
        <v>203</v>
      </c>
      <c r="D26" s="103">
        <v>75.599999999999994</v>
      </c>
      <c r="E26" s="6"/>
      <c r="F26" s="106">
        <f>INT(0.5+1000*LN(5/15)/LN((D26-(0.15*C26))/(C26-(0.15*C26))))/1000</f>
        <v>0.81899999999999995</v>
      </c>
      <c r="G26" s="56"/>
      <c r="H26" s="29"/>
    </row>
    <row r="27" spans="1:8" ht="15" customHeight="1" x14ac:dyDescent="0.25">
      <c r="A27" s="92" t="s">
        <v>34</v>
      </c>
      <c r="B27" s="1" t="s">
        <v>60</v>
      </c>
      <c r="C27" s="79">
        <v>115.5</v>
      </c>
      <c r="D27" s="103">
        <v>86.88</v>
      </c>
      <c r="E27" s="1">
        <v>8</v>
      </c>
      <c r="F27" s="105">
        <f>INT(0.5+1000*LN((500-(6*E27))/(1500-(6*E27)))/(LN((D27-6)/(C27-6))))/1000</f>
        <v>3.8519999999999999</v>
      </c>
      <c r="G27" s="43"/>
    </row>
    <row r="28" spans="1:8" ht="15" customHeight="1" x14ac:dyDescent="0.25">
      <c r="A28" s="92" t="s">
        <v>34</v>
      </c>
      <c r="B28" s="1" t="s">
        <v>61</v>
      </c>
      <c r="C28" s="79">
        <v>11470</v>
      </c>
      <c r="D28" s="103">
        <v>951</v>
      </c>
      <c r="F28" s="105">
        <f>INT(0.5+1000*LN(5/15)/LN(D28/C28))/1000</f>
        <v>0.441</v>
      </c>
      <c r="G28" s="44">
        <v>3</v>
      </c>
    </row>
    <row r="29" spans="1:8" ht="15" customHeight="1" x14ac:dyDescent="0.25">
      <c r="A29" s="95" t="s">
        <v>34</v>
      </c>
      <c r="B29" s="6" t="s">
        <v>62</v>
      </c>
      <c r="C29" s="63">
        <v>191</v>
      </c>
      <c r="D29" s="103">
        <v>70.55</v>
      </c>
      <c r="E29" s="6"/>
      <c r="F29" s="106">
        <f>INT(0.5+1000*LN(5/15)/LN((D29-(0.15*C29))/(C29-(0.15*C29))))/1000</f>
        <v>0.81100000000000005</v>
      </c>
      <c r="G29" s="56"/>
      <c r="H29" s="29"/>
    </row>
    <row r="30" spans="1:8" ht="15" customHeight="1" x14ac:dyDescent="0.25">
      <c r="A30" s="92" t="s">
        <v>35</v>
      </c>
      <c r="B30" s="1" t="s">
        <v>60</v>
      </c>
      <c r="C30" s="79">
        <v>111.5</v>
      </c>
      <c r="D30" s="103">
        <v>86</v>
      </c>
      <c r="E30" s="1">
        <v>8</v>
      </c>
      <c r="F30" s="105">
        <f>INT(0.5+1000*LN((500-(6*E30))/(1500-(6*E30)))/(LN((D30-6)/(C30-6))))/1000</f>
        <v>4.218</v>
      </c>
      <c r="G30" s="43"/>
    </row>
    <row r="31" spans="1:8" ht="15" customHeight="1" x14ac:dyDescent="0.25">
      <c r="A31" s="92" t="s">
        <v>35</v>
      </c>
      <c r="B31" s="1" t="s">
        <v>61</v>
      </c>
      <c r="C31" s="79">
        <v>6230</v>
      </c>
      <c r="D31" s="103">
        <v>1062</v>
      </c>
      <c r="F31" s="105">
        <f>INT(0.5+1000*LN(5/15)/LN(D31/C31))/1000</f>
        <v>0.621</v>
      </c>
      <c r="G31" s="44">
        <v>3</v>
      </c>
    </row>
    <row r="32" spans="1:8" ht="15" customHeight="1" x14ac:dyDescent="0.25">
      <c r="A32" s="95" t="s">
        <v>35</v>
      </c>
      <c r="B32" s="6" t="s">
        <v>62</v>
      </c>
      <c r="C32" s="63">
        <v>162</v>
      </c>
      <c r="D32" s="103">
        <v>56.65</v>
      </c>
      <c r="E32" s="6"/>
      <c r="F32" s="106">
        <f>INT(0.5+1000*LN(5/15)/LN((D32-(0.15*C32))/(C32-(0.15*C32))))/1000</f>
        <v>0.75800000000000001</v>
      </c>
      <c r="G32" s="56"/>
      <c r="H32" s="29"/>
    </row>
    <row r="33" spans="1:8" ht="15" customHeight="1" x14ac:dyDescent="0.25">
      <c r="A33" s="92" t="s">
        <v>36</v>
      </c>
      <c r="B33" s="1" t="s">
        <v>60</v>
      </c>
      <c r="C33" s="91">
        <v>110</v>
      </c>
      <c r="D33" s="103">
        <v>87.42</v>
      </c>
      <c r="E33" s="1">
        <v>8</v>
      </c>
      <c r="F33" s="105">
        <f>INT(0.5+1000*LN((500-(6*E33))/(1500-(6*E33)))/(LN((D33-6)/(C33-6))))/1000</f>
        <v>4.7679999999999998</v>
      </c>
      <c r="G33" s="43"/>
    </row>
    <row r="34" spans="1:8" ht="15" customHeight="1" x14ac:dyDescent="0.25">
      <c r="A34" s="92" t="s">
        <v>36</v>
      </c>
      <c r="B34" s="1" t="s">
        <v>61</v>
      </c>
      <c r="C34" s="79">
        <v>6230</v>
      </c>
      <c r="D34" s="103">
        <v>1179</v>
      </c>
      <c r="F34" s="105">
        <f>INT(0.5+1000*LN(5/15)/LN(D34/C34))/1000</f>
        <v>0.66</v>
      </c>
      <c r="G34" s="44">
        <v>3</v>
      </c>
    </row>
    <row r="35" spans="1:8" ht="15" customHeight="1" x14ac:dyDescent="0.25">
      <c r="A35" s="95" t="s">
        <v>36</v>
      </c>
      <c r="B35" s="6" t="s">
        <v>62</v>
      </c>
      <c r="C35" s="63">
        <v>156</v>
      </c>
      <c r="D35" s="103">
        <v>77.400000000000006</v>
      </c>
      <c r="E35" s="6"/>
      <c r="F35" s="106">
        <f>INT(0.5+1000*LN(5/15)/LN((D35-(0.15*C35))/(C35-(0.15*C35))))/1000</f>
        <v>1.2230000000000001</v>
      </c>
      <c r="G35" s="56"/>
      <c r="H35" s="29"/>
    </row>
    <row r="36" spans="1:8" ht="15" customHeight="1" x14ac:dyDescent="0.25">
      <c r="A36" s="92" t="s">
        <v>37</v>
      </c>
      <c r="B36" s="1" t="s">
        <v>60</v>
      </c>
      <c r="C36" s="79">
        <v>104</v>
      </c>
      <c r="D36" s="103">
        <v>83.17</v>
      </c>
      <c r="E36" s="1">
        <v>8</v>
      </c>
      <c r="F36" s="105">
        <f>INT(0.5+1000*LN((500-(6*E36))/(1500-(6*E36)))/(LN((D36-6)/(C36-6))))/1000</f>
        <v>4.8840000000000003</v>
      </c>
      <c r="G36" s="43"/>
    </row>
    <row r="37" spans="1:8" ht="15" customHeight="1" x14ac:dyDescent="0.25">
      <c r="A37" s="92" t="s">
        <v>37</v>
      </c>
      <c r="B37" s="1" t="s">
        <v>61</v>
      </c>
      <c r="C37" s="79">
        <v>3800</v>
      </c>
      <c r="D37" s="103">
        <v>1150</v>
      </c>
      <c r="F37" s="105">
        <f>INT(0.5+1000*LN(5/15)/LN(D37/C37))/1000</f>
        <v>0.91900000000000004</v>
      </c>
      <c r="G37" s="44">
        <v>3</v>
      </c>
    </row>
    <row r="38" spans="1:8" ht="15" customHeight="1" x14ac:dyDescent="0.25">
      <c r="A38" s="95" t="s">
        <v>37</v>
      </c>
      <c r="B38" s="6" t="s">
        <v>62</v>
      </c>
      <c r="C38" s="63">
        <v>137</v>
      </c>
      <c r="D38" s="103">
        <v>51.3</v>
      </c>
      <c r="E38" s="6"/>
      <c r="F38" s="106">
        <f>INT(0.5+1000*LN(5/15)/LN((D38-(0.15*C38))/(C38-(0.15*C38))))/1000</f>
        <v>0.82499999999999996</v>
      </c>
      <c r="G38" s="56"/>
      <c r="H38" s="29"/>
    </row>
    <row r="39" spans="1:8" ht="15" customHeight="1" x14ac:dyDescent="0.25">
      <c r="A39" s="92" t="s">
        <v>38</v>
      </c>
      <c r="B39" s="1" t="s">
        <v>60</v>
      </c>
      <c r="C39" s="79">
        <v>99.5</v>
      </c>
      <c r="D39" s="103">
        <v>79.22</v>
      </c>
      <c r="E39" s="1">
        <v>8</v>
      </c>
      <c r="F39" s="105">
        <f>INT(0.5+1000*LN((500-(6*E39))/(1500-(6*E39)))/(LN((D39-6)/(C39-6))))/1000</f>
        <v>4.7729999999999997</v>
      </c>
      <c r="G39" s="43"/>
    </row>
    <row r="40" spans="1:8" ht="15" customHeight="1" x14ac:dyDescent="0.25">
      <c r="A40" s="92" t="s">
        <v>38</v>
      </c>
      <c r="B40" s="1" t="s">
        <v>61</v>
      </c>
      <c r="C40" s="79">
        <v>3400</v>
      </c>
      <c r="D40" s="103">
        <v>840</v>
      </c>
      <c r="F40" s="105">
        <f>INT(0.5+1000*LN(5/15)/LN(D40/C40))/1000</f>
        <v>0.78600000000000003</v>
      </c>
      <c r="G40" s="44">
        <v>2</v>
      </c>
    </row>
    <row r="41" spans="1:8" ht="15" customHeight="1" x14ac:dyDescent="0.25">
      <c r="A41" s="95" t="s">
        <v>38</v>
      </c>
      <c r="B41" s="6" t="s">
        <v>62</v>
      </c>
      <c r="C41" s="63">
        <v>123</v>
      </c>
      <c r="D41" s="103">
        <v>45.6</v>
      </c>
      <c r="E41" s="6"/>
      <c r="F41" s="106">
        <f>INT(0.5+1000*LN(5/15)/LN((D41-(0.15*C41))/(C41-(0.15*C41))))/1000</f>
        <v>0.81499999999999995</v>
      </c>
      <c r="G41" s="56"/>
      <c r="H41" s="29"/>
    </row>
    <row r="42" spans="1:8" ht="15" customHeight="1" x14ac:dyDescent="0.25">
      <c r="A42" s="92" t="s">
        <v>39</v>
      </c>
      <c r="B42" s="1" t="s">
        <v>60</v>
      </c>
      <c r="C42" s="79">
        <v>92</v>
      </c>
      <c r="D42" s="103">
        <v>67.5</v>
      </c>
      <c r="E42" s="1">
        <v>8</v>
      </c>
      <c r="F42" s="105">
        <f>INT(0.5+1000*LN((500-(6*E42))/(1500-(6*E42)))/(LN((D42-6)/(C42-6))))/1000</f>
        <v>3.48</v>
      </c>
      <c r="G42" s="43"/>
    </row>
    <row r="43" spans="1:8" ht="15" customHeight="1" x14ac:dyDescent="0.25">
      <c r="A43" s="92" t="s">
        <v>39</v>
      </c>
      <c r="B43" s="1" t="s">
        <v>61</v>
      </c>
      <c r="C43" s="79">
        <v>2520</v>
      </c>
      <c r="D43" s="103">
        <v>982</v>
      </c>
      <c r="F43" s="105">
        <f>INT(0.5+1000*LN(5/15)/LN(D43/C43))/1000</f>
        <v>1.1659999999999999</v>
      </c>
      <c r="G43" s="44">
        <v>2</v>
      </c>
    </row>
    <row r="44" spans="1:8" ht="15" customHeight="1" x14ac:dyDescent="0.25">
      <c r="A44" s="95" t="s">
        <v>39</v>
      </c>
      <c r="B44" s="6" t="s">
        <v>62</v>
      </c>
      <c r="C44" s="63">
        <v>98</v>
      </c>
      <c r="D44" s="103">
        <v>40.9</v>
      </c>
      <c r="E44" s="6"/>
      <c r="F44" s="106">
        <f>INT(0.5+1000*LN(5/15)/LN((D44-(0.15*C44))/(C44-(0.15*C44))))/1000</f>
        <v>0.95</v>
      </c>
      <c r="G44" s="56"/>
      <c r="H44" s="29"/>
    </row>
    <row r="45" spans="1:8" ht="15" customHeight="1" x14ac:dyDescent="0.25">
      <c r="A45" s="92" t="s">
        <v>40</v>
      </c>
      <c r="B45" s="1" t="s">
        <v>60</v>
      </c>
      <c r="C45" s="79">
        <v>86</v>
      </c>
      <c r="D45" s="103">
        <v>64.36</v>
      </c>
      <c r="E45" s="1">
        <v>8</v>
      </c>
      <c r="F45" s="105">
        <f>INT(0.5+1000*LN((500-(6*E45))/(1500-(6*E45)))/(LN((D45-6)/(C45-6))))/1000</f>
        <v>3.7</v>
      </c>
      <c r="G45" s="43"/>
    </row>
    <row r="46" spans="1:8" ht="15" customHeight="1" x14ac:dyDescent="0.25">
      <c r="A46" s="92" t="s">
        <v>40</v>
      </c>
      <c r="B46" s="1" t="s">
        <v>61</v>
      </c>
      <c r="C46" s="79">
        <v>1600</v>
      </c>
      <c r="D46" s="103">
        <v>810</v>
      </c>
      <c r="F46" s="105">
        <f>INT(0.5+1000*LN(5/15)/LN(D46/C46))/1000</f>
        <v>1.6140000000000001</v>
      </c>
      <c r="G46" s="44">
        <v>2</v>
      </c>
    </row>
    <row r="47" spans="1:8" ht="15" customHeight="1" x14ac:dyDescent="0.25">
      <c r="A47" s="95" t="s">
        <v>40</v>
      </c>
      <c r="B47" s="6" t="s">
        <v>62</v>
      </c>
      <c r="C47" s="63">
        <v>100</v>
      </c>
      <c r="D47" s="82">
        <v>23.4</v>
      </c>
      <c r="E47" s="6"/>
      <c r="F47" s="106">
        <f>INT(0.5+1000*LN(5/15)/LN((D47-(0.15*C47))/(C47-(0.15*C47))))/1000</f>
        <v>0.47499999999999998</v>
      </c>
      <c r="G47" s="56"/>
      <c r="H47" s="29"/>
    </row>
    <row r="48" spans="1:8" ht="15" customHeight="1" x14ac:dyDescent="0.25">
      <c r="A48" s="92" t="s">
        <v>41</v>
      </c>
      <c r="B48" s="1" t="s">
        <v>60</v>
      </c>
      <c r="C48" s="79">
        <v>64</v>
      </c>
      <c r="D48" s="103">
        <v>54.15</v>
      </c>
      <c r="E48" s="1">
        <v>8</v>
      </c>
      <c r="F48" s="105">
        <f>INT(0.5+1000*LN((500-(6*E48))/(1500-(6*E48)))/(LN((D48-6)/(C48-6))))/1000</f>
        <v>6.27</v>
      </c>
      <c r="G48" s="43"/>
    </row>
    <row r="49" spans="1:8" ht="15" customHeight="1" x14ac:dyDescent="0.25">
      <c r="A49" s="92" t="s">
        <v>41</v>
      </c>
      <c r="B49" s="1" t="s">
        <v>61</v>
      </c>
      <c r="C49" s="79">
        <v>1050</v>
      </c>
      <c r="D49" s="103">
        <v>579</v>
      </c>
      <c r="F49" s="105">
        <f>INT(0.5+1000*LN(5/15)/LN(D49/C49))/1000</f>
        <v>1.8460000000000001</v>
      </c>
      <c r="G49" s="44">
        <v>2</v>
      </c>
    </row>
    <row r="50" spans="1:8" ht="15" customHeight="1" x14ac:dyDescent="0.25">
      <c r="A50" s="95" t="s">
        <v>41</v>
      </c>
      <c r="B50" s="6" t="s">
        <v>62</v>
      </c>
      <c r="C50" s="63">
        <v>41</v>
      </c>
      <c r="D50" s="82">
        <v>25.7</v>
      </c>
      <c r="E50" s="6"/>
      <c r="F50" s="106">
        <f>INT(0.5+1000*LN(5/15)/LN((D50-(0.15*C50))/(C50-(0.15*C50))))/1000</f>
        <v>1.9</v>
      </c>
      <c r="G50" s="56"/>
      <c r="H50" s="29"/>
    </row>
    <row r="51" spans="1:8" ht="15" customHeight="1" x14ac:dyDescent="0.25">
      <c r="A51" s="92" t="s">
        <v>25</v>
      </c>
      <c r="B51" s="1" t="s">
        <v>60</v>
      </c>
      <c r="C51" s="79">
        <v>80</v>
      </c>
      <c r="D51" s="103">
        <v>28.26</v>
      </c>
      <c r="E51" s="1">
        <v>40</v>
      </c>
      <c r="F51" s="105">
        <f>INT(0.5+1000*LN((500-(6*E51))/(1500-(6*E51)))/(LN((D51-6)/(C51-6))))/1000</f>
        <v>1.3140000000000001</v>
      </c>
      <c r="G51" s="43"/>
    </row>
    <row r="52" spans="1:8" ht="15" customHeight="1" x14ac:dyDescent="0.25">
      <c r="A52" s="92" t="s">
        <v>25</v>
      </c>
      <c r="B52" s="1" t="s">
        <v>61</v>
      </c>
      <c r="C52" s="79">
        <v>5340</v>
      </c>
      <c r="D52" s="103">
        <v>527</v>
      </c>
      <c r="F52" s="105">
        <f>INT(0.5+1000*LN(5/15)/LN(D52/C52))/1000</f>
        <v>0.47399999999999998</v>
      </c>
      <c r="G52" s="44">
        <v>2</v>
      </c>
    </row>
    <row r="53" spans="1:8" ht="15" customHeight="1" x14ac:dyDescent="0.25">
      <c r="A53" s="95" t="s">
        <v>25</v>
      </c>
      <c r="B53" s="6" t="s">
        <v>62</v>
      </c>
      <c r="C53" s="80">
        <v>999</v>
      </c>
      <c r="D53" s="80">
        <v>999</v>
      </c>
      <c r="E53" s="6"/>
      <c r="F53" s="106">
        <v>0</v>
      </c>
      <c r="G53" s="56"/>
      <c r="H53" s="29"/>
    </row>
    <row r="54" spans="1:8" ht="15" customHeight="1" x14ac:dyDescent="0.25">
      <c r="A54" s="92" t="s">
        <v>26</v>
      </c>
      <c r="B54" s="92" t="s">
        <v>60</v>
      </c>
      <c r="C54" s="91">
        <v>90.5</v>
      </c>
      <c r="D54" s="103">
        <v>52.41</v>
      </c>
      <c r="E54" s="92">
        <v>8</v>
      </c>
      <c r="F54" s="105">
        <f>INT(0.5+1000*LN((500-(6*E54))/(1500-(6*E54)))/(LN((D54-6)/(C54-6))))/1000</f>
        <v>1.948</v>
      </c>
      <c r="G54" s="93"/>
    </row>
    <row r="55" spans="1:8" ht="15" customHeight="1" x14ac:dyDescent="0.25">
      <c r="A55" s="92" t="s">
        <v>26</v>
      </c>
      <c r="B55" s="92" t="s">
        <v>61</v>
      </c>
      <c r="C55" s="91">
        <v>6260</v>
      </c>
      <c r="D55" s="103">
        <v>950</v>
      </c>
      <c r="E55" s="92"/>
      <c r="F55" s="105">
        <f>INT(0.5+1000*LN(5/15)/LN(D55/C55))/1000</f>
        <v>0.58299999999999996</v>
      </c>
      <c r="G55" s="94">
        <v>3</v>
      </c>
    </row>
    <row r="56" spans="1:8" ht="15" customHeight="1" x14ac:dyDescent="0.25">
      <c r="A56" s="95" t="s">
        <v>26</v>
      </c>
      <c r="B56" s="95" t="s">
        <v>62</v>
      </c>
      <c r="C56" s="96">
        <v>75</v>
      </c>
      <c r="D56" s="103">
        <v>44.3</v>
      </c>
      <c r="E56" s="95"/>
      <c r="F56" s="106">
        <f>INT(0.5+1000*LN(5/15)/LN((D56-(0.15*C56))/(C56-(0.15*C56))))/1000</f>
        <v>1.6719999999999999</v>
      </c>
      <c r="G56" s="97"/>
      <c r="H56" s="29"/>
    </row>
    <row r="57" spans="1:8" ht="15" customHeight="1" x14ac:dyDescent="0.25">
      <c r="A57" s="92" t="s">
        <v>27</v>
      </c>
      <c r="B57" s="92" t="s">
        <v>60</v>
      </c>
      <c r="C57" s="91">
        <v>98</v>
      </c>
      <c r="D57" s="103">
        <v>62.5</v>
      </c>
      <c r="E57" s="92">
        <v>8</v>
      </c>
      <c r="F57" s="105">
        <f>INT(0.5+1000*LN((500-(6*E57))/(1500-(6*E57)))/(LN((D57-6)/(C57-6))))/1000</f>
        <v>2.3940000000000001</v>
      </c>
      <c r="G57" s="93"/>
      <c r="H57" s="28"/>
    </row>
    <row r="58" spans="1:8" ht="15" customHeight="1" x14ac:dyDescent="0.25">
      <c r="A58" s="92" t="s">
        <v>27</v>
      </c>
      <c r="B58" s="92" t="s">
        <v>61</v>
      </c>
      <c r="C58" s="91">
        <v>8140</v>
      </c>
      <c r="D58" s="103">
        <v>1330</v>
      </c>
      <c r="E58" s="92"/>
      <c r="F58" s="105">
        <f>INT(0.5+1000*LN(5/15)/LN(D58/C58))/1000</f>
        <v>0.60599999999999998</v>
      </c>
      <c r="G58" s="94">
        <v>3</v>
      </c>
      <c r="H58" s="28"/>
    </row>
    <row r="59" spans="1:8" ht="15" customHeight="1" x14ac:dyDescent="0.25">
      <c r="A59" s="95" t="s">
        <v>27</v>
      </c>
      <c r="B59" s="95" t="s">
        <v>62</v>
      </c>
      <c r="C59" s="96">
        <v>120</v>
      </c>
      <c r="D59" s="103">
        <v>49.4</v>
      </c>
      <c r="E59" s="95"/>
      <c r="F59" s="106">
        <f>INT(0.5+1000*LN(5/15)/LN((D59-(0.15*C59))/(C59-(0.15*C59))))/1000</f>
        <v>0.93200000000000005</v>
      </c>
      <c r="G59" s="97"/>
      <c r="H59" s="28"/>
    </row>
    <row r="60" spans="1:8" ht="15" customHeight="1" x14ac:dyDescent="0.25">
      <c r="A60" s="92" t="s">
        <v>65</v>
      </c>
      <c r="B60" s="1" t="s">
        <v>60</v>
      </c>
      <c r="C60" s="79">
        <v>105</v>
      </c>
      <c r="D60" s="103">
        <v>71</v>
      </c>
      <c r="E60" s="1">
        <v>8</v>
      </c>
      <c r="F60" s="105">
        <f>INT(0.5+1000*LN((500-(6*E60))/(1500-(6*E60)))/(LN((D60-6)/(C60-6))))/1000</f>
        <v>2.774</v>
      </c>
      <c r="G60" s="43"/>
    </row>
    <row r="61" spans="1:8" ht="15" customHeight="1" x14ac:dyDescent="0.25">
      <c r="A61" s="92" t="s">
        <v>65</v>
      </c>
      <c r="B61" s="1" t="s">
        <v>61</v>
      </c>
      <c r="C61" s="79">
        <v>9300</v>
      </c>
      <c r="D61" s="103">
        <v>1850</v>
      </c>
      <c r="F61" s="105">
        <f>INT(0.5+1000*LN(5/15)/LN(D61/C61))/1000</f>
        <v>0.68</v>
      </c>
      <c r="G61" s="44">
        <v>3</v>
      </c>
    </row>
    <row r="62" spans="1:8" ht="15" customHeight="1" x14ac:dyDescent="0.25">
      <c r="A62" s="95" t="s">
        <v>65</v>
      </c>
      <c r="B62" s="6" t="s">
        <v>62</v>
      </c>
      <c r="C62" s="63">
        <v>146</v>
      </c>
      <c r="D62" s="103">
        <v>70.5</v>
      </c>
      <c r="E62" s="6"/>
      <c r="F62" s="106">
        <f>INT(0.5+1000*LN(5/15)/LN((D62-(0.15*C62))/(C62-(0.15*C62))))/1000</f>
        <v>1.1719999999999999</v>
      </c>
      <c r="G62" s="56"/>
      <c r="H62" s="29"/>
    </row>
    <row r="63" spans="1:8" ht="15" customHeight="1" x14ac:dyDescent="0.25">
      <c r="A63" s="92" t="s">
        <v>67</v>
      </c>
      <c r="B63" s="1" t="s">
        <v>60</v>
      </c>
      <c r="C63" s="79">
        <v>109</v>
      </c>
      <c r="D63" s="103">
        <v>71.83</v>
      </c>
      <c r="E63" s="1">
        <v>8</v>
      </c>
      <c r="F63" s="105">
        <f>INT(0.5+1000*LN((500-(6*E63))/(1500-(6*E63)))/(LN((D63-6)/(C63-6))))/1000</f>
        <v>2.6070000000000002</v>
      </c>
      <c r="G63" s="43"/>
      <c r="H63" s="28"/>
    </row>
    <row r="64" spans="1:8" ht="15" customHeight="1" x14ac:dyDescent="0.25">
      <c r="A64" s="92" t="s">
        <v>67</v>
      </c>
      <c r="B64" s="1" t="s">
        <v>61</v>
      </c>
      <c r="C64" s="79">
        <v>10610</v>
      </c>
      <c r="D64" s="103">
        <v>1438.5</v>
      </c>
      <c r="F64" s="105">
        <f>INT(0.5+1000*LN(5/15)/LN(D64/C64))/1000</f>
        <v>0.55000000000000004</v>
      </c>
      <c r="G64" s="44">
        <v>3</v>
      </c>
      <c r="H64" s="28"/>
    </row>
    <row r="65" spans="1:8" ht="15" customHeight="1" x14ac:dyDescent="0.25">
      <c r="A65" s="95" t="s">
        <v>67</v>
      </c>
      <c r="B65" s="6" t="s">
        <v>62</v>
      </c>
      <c r="C65" s="63">
        <v>154</v>
      </c>
      <c r="D65" s="103">
        <v>68.05</v>
      </c>
      <c r="E65" s="6"/>
      <c r="F65" s="106">
        <f>INT(0.5+1000*LN(5/15)/LN((D65-(0.15*C65))/(C65-(0.15*C65))))/1000</f>
        <v>1.028</v>
      </c>
      <c r="G65" s="56"/>
      <c r="H65" s="28"/>
    </row>
    <row r="66" spans="1:8" ht="15" customHeight="1" x14ac:dyDescent="0.25">
      <c r="A66" s="92" t="s">
        <v>42</v>
      </c>
      <c r="B66" s="1" t="s">
        <v>60</v>
      </c>
      <c r="C66" s="79">
        <v>110</v>
      </c>
      <c r="D66" s="103">
        <v>60.8</v>
      </c>
      <c r="E66" s="1">
        <v>8</v>
      </c>
      <c r="F66" s="105">
        <f>INT(0.5+1000*LN((500-(6*E66))/(1500-(6*E66)))/(LN((D66-6)/(C66-6))))/1000</f>
        <v>1.821</v>
      </c>
      <c r="G66" s="43"/>
    </row>
    <row r="67" spans="1:8" ht="15" customHeight="1" x14ac:dyDescent="0.25">
      <c r="A67" s="92" t="s">
        <v>42</v>
      </c>
      <c r="B67" s="1" t="s">
        <v>61</v>
      </c>
      <c r="C67" s="79">
        <v>11260</v>
      </c>
      <c r="D67" s="103">
        <v>770</v>
      </c>
      <c r="F67" s="105">
        <f>INT(0.5+1000*LN(5/15)/LN(D67/C67))/1000</f>
        <v>0.41</v>
      </c>
      <c r="G67" s="44">
        <v>3</v>
      </c>
    </row>
    <row r="68" spans="1:8" ht="15" customHeight="1" x14ac:dyDescent="0.25">
      <c r="A68" s="95" t="s">
        <v>42</v>
      </c>
      <c r="B68" s="6" t="s">
        <v>62</v>
      </c>
      <c r="C68" s="63">
        <v>165</v>
      </c>
      <c r="D68" s="103">
        <v>56.7</v>
      </c>
      <c r="E68" s="6"/>
      <c r="F68" s="106">
        <f>INT(0.5+1000*LN(5/15)/LN((D68-(0.15*C68))/(C68-(0.15*C68))))/1000</f>
        <v>0.74299999999999999</v>
      </c>
      <c r="G68" s="56"/>
      <c r="H68" s="29"/>
    </row>
    <row r="69" spans="1:8" ht="15" customHeight="1" x14ac:dyDescent="0.25">
      <c r="A69" s="92" t="s">
        <v>43</v>
      </c>
      <c r="B69" s="1" t="s">
        <v>60</v>
      </c>
      <c r="C69" s="79">
        <v>112.5</v>
      </c>
      <c r="D69" s="103">
        <v>72.56</v>
      </c>
      <c r="E69" s="1">
        <v>8</v>
      </c>
      <c r="F69" s="105">
        <f>INT(0.5+1000*LN((500-(6*E69))/(1500-(6*E69)))/(LN((D69-6)/(C69-6))))/1000</f>
        <v>2.4830000000000001</v>
      </c>
      <c r="G69" s="43"/>
    </row>
    <row r="70" spans="1:8" ht="15" customHeight="1" x14ac:dyDescent="0.25">
      <c r="A70" s="92" t="s">
        <v>43</v>
      </c>
      <c r="B70" s="1" t="s">
        <v>61</v>
      </c>
      <c r="C70" s="79">
        <v>11450</v>
      </c>
      <c r="D70" s="103">
        <v>1188</v>
      </c>
      <c r="F70" s="105">
        <f>INT(0.5+1000*LN(5/15)/LN(D70/C70))/1000</f>
        <v>0.48499999999999999</v>
      </c>
      <c r="G70" s="44">
        <v>3</v>
      </c>
    </row>
    <row r="71" spans="1:8" ht="15" customHeight="1" x14ac:dyDescent="0.25">
      <c r="A71" s="95" t="s">
        <v>43</v>
      </c>
      <c r="B71" s="6" t="s">
        <v>62</v>
      </c>
      <c r="C71" s="63">
        <v>158</v>
      </c>
      <c r="D71" s="103">
        <v>62.9</v>
      </c>
      <c r="E71" s="6"/>
      <c r="F71" s="106">
        <f>INT(0.5+1000*LN(5/15)/LN((D71-(0.15*C71))/(C71-(0.15*C71))))/1000</f>
        <v>0.89200000000000002</v>
      </c>
      <c r="G71" s="56"/>
      <c r="H71" s="29"/>
    </row>
    <row r="72" spans="1:8" ht="15" customHeight="1" x14ac:dyDescent="0.25">
      <c r="A72" s="92" t="s">
        <v>44</v>
      </c>
      <c r="B72" s="1" t="s">
        <v>60</v>
      </c>
      <c r="C72" s="79">
        <v>113</v>
      </c>
      <c r="D72" s="103">
        <v>59.85</v>
      </c>
      <c r="E72" s="1">
        <v>8</v>
      </c>
      <c r="F72" s="105">
        <f>INT(0.5+1000*LN((500-(6*E72))/(1500-(6*E72)))/(LN((D72-6)/(C72-6))))/1000</f>
        <v>1.7</v>
      </c>
      <c r="G72" s="43"/>
    </row>
    <row r="73" spans="1:8" ht="15" customHeight="1" x14ac:dyDescent="0.25">
      <c r="A73" s="92" t="s">
        <v>44</v>
      </c>
      <c r="B73" s="1" t="s">
        <v>61</v>
      </c>
      <c r="C73" s="79">
        <v>8540</v>
      </c>
      <c r="D73" s="103">
        <v>1207</v>
      </c>
      <c r="F73" s="105">
        <f>INT(0.5+1000*LN(5/15)/LN(D73/C73))/1000</f>
        <v>0.56100000000000005</v>
      </c>
      <c r="G73" s="44">
        <v>3</v>
      </c>
    </row>
    <row r="74" spans="1:8" ht="15" customHeight="1" x14ac:dyDescent="0.25">
      <c r="A74" s="95" t="s">
        <v>44</v>
      </c>
      <c r="B74" s="6" t="s">
        <v>62</v>
      </c>
      <c r="C74" s="63">
        <v>155</v>
      </c>
      <c r="D74" s="103">
        <v>65.45</v>
      </c>
      <c r="E74" s="6"/>
      <c r="F74" s="106">
        <f>INT(0.5+1000*LN(5/15)/LN((D74-(0.15*C74))/(C74-(0.15*C74))))/1000</f>
        <v>0.96499999999999997</v>
      </c>
      <c r="G74" s="56"/>
      <c r="H74" s="29"/>
    </row>
    <row r="75" spans="1:8" ht="15" customHeight="1" x14ac:dyDescent="0.25">
      <c r="A75" s="92" t="s">
        <v>45</v>
      </c>
      <c r="B75" s="1" t="s">
        <v>60</v>
      </c>
      <c r="C75" s="79">
        <v>105</v>
      </c>
      <c r="D75" s="103">
        <v>69.33</v>
      </c>
      <c r="E75" s="1">
        <v>8</v>
      </c>
      <c r="F75" s="105">
        <f>INT(0.5+1000*LN((500-(6*E75))/(1500-(6*E75)))/(LN((D75-6)/(C75-6))))/1000</f>
        <v>2.6120000000000001</v>
      </c>
      <c r="G75" s="43"/>
    </row>
    <row r="76" spans="1:8" ht="15" customHeight="1" x14ac:dyDescent="0.25">
      <c r="A76" s="92" t="s">
        <v>45</v>
      </c>
      <c r="B76" s="1" t="s">
        <v>61</v>
      </c>
      <c r="C76" s="79">
        <v>5600</v>
      </c>
      <c r="D76" s="103">
        <v>1266.5</v>
      </c>
      <c r="F76" s="105">
        <f>INT(0.5+1000*LN(5/15)/LN(D76/C76))/1000</f>
        <v>0.73899999999999999</v>
      </c>
      <c r="G76" s="44">
        <v>3</v>
      </c>
    </row>
    <row r="77" spans="1:8" ht="15" customHeight="1" x14ac:dyDescent="0.25">
      <c r="A77" s="95" t="s">
        <v>45</v>
      </c>
      <c r="B77" s="6" t="s">
        <v>62</v>
      </c>
      <c r="C77" s="63">
        <v>134</v>
      </c>
      <c r="D77" s="103">
        <v>55.8</v>
      </c>
      <c r="E77" s="6"/>
      <c r="F77" s="106">
        <f>INT(0.5+1000*LN(5/15)/LN((D77-(0.15*C77))/(C77-(0.15*C77))))/1000</f>
        <v>0.94699999999999995</v>
      </c>
      <c r="G77" s="56"/>
      <c r="H77" s="29"/>
    </row>
    <row r="78" spans="1:8" ht="15" customHeight="1" x14ac:dyDescent="0.25">
      <c r="A78" s="92" t="s">
        <v>46</v>
      </c>
      <c r="B78" s="1" t="s">
        <v>60</v>
      </c>
      <c r="C78" s="79">
        <v>98</v>
      </c>
      <c r="D78" s="103">
        <v>63</v>
      </c>
      <c r="E78" s="1">
        <v>8</v>
      </c>
      <c r="F78" s="105">
        <f>INT(0.5+1000*LN((500-(6*E78))/(1500-(6*E78)))/(LN((D78-6)/(C78-6))))/1000</f>
        <v>2.4380000000000002</v>
      </c>
      <c r="G78" s="43"/>
    </row>
    <row r="79" spans="1:8" ht="15" customHeight="1" x14ac:dyDescent="0.25">
      <c r="A79" s="92" t="s">
        <v>46</v>
      </c>
      <c r="B79" s="1" t="s">
        <v>61</v>
      </c>
      <c r="C79" s="79">
        <v>5190</v>
      </c>
      <c r="D79" s="103">
        <v>831</v>
      </c>
      <c r="F79" s="105">
        <f>INT(0.5+1000*LN(5/15)/LN(D79/C79))/1000</f>
        <v>0.6</v>
      </c>
      <c r="G79" s="44">
        <v>3</v>
      </c>
    </row>
    <row r="80" spans="1:8" ht="15" customHeight="1" x14ac:dyDescent="0.25">
      <c r="A80" s="95" t="s">
        <v>46</v>
      </c>
      <c r="B80" s="6" t="s">
        <v>62</v>
      </c>
      <c r="C80" s="63">
        <v>116</v>
      </c>
      <c r="D80" s="103">
        <v>40.9</v>
      </c>
      <c r="E80" s="6"/>
      <c r="F80" s="106">
        <f>INT(0.5+1000*LN(5/15)/LN((D80-(0.15*C80))/(C80-(0.15*C80))))/1000</f>
        <v>0.76600000000000001</v>
      </c>
      <c r="G80" s="56"/>
      <c r="H80" s="29"/>
    </row>
    <row r="81" spans="1:8" ht="15" customHeight="1" x14ac:dyDescent="0.25">
      <c r="A81" s="92" t="s">
        <v>47</v>
      </c>
      <c r="B81" s="1" t="s">
        <v>60</v>
      </c>
      <c r="C81" s="79">
        <v>94.5</v>
      </c>
      <c r="D81" s="103">
        <v>68.17</v>
      </c>
      <c r="E81" s="1">
        <v>8</v>
      </c>
      <c r="F81" s="105">
        <f>INT(0.5+1000*LN((500-(6*E81))/(1500-(6*E81)))/(LN((D81-6)/(C81-6))))/1000</f>
        <v>3.3050000000000002</v>
      </c>
      <c r="G81" s="43"/>
    </row>
    <row r="82" spans="1:8" ht="15" customHeight="1" x14ac:dyDescent="0.25">
      <c r="A82" s="92" t="s">
        <v>47</v>
      </c>
      <c r="B82" s="1" t="s">
        <v>61</v>
      </c>
      <c r="C82" s="79">
        <v>3940</v>
      </c>
      <c r="D82" s="103">
        <v>1358.5</v>
      </c>
      <c r="F82" s="105">
        <f>INT(0.5+1000*LN(5/15)/LN(D82/C82))/1000</f>
        <v>1.032</v>
      </c>
      <c r="G82" s="44">
        <v>3</v>
      </c>
    </row>
    <row r="83" spans="1:8" ht="15" customHeight="1" x14ac:dyDescent="0.25">
      <c r="A83" s="95" t="s">
        <v>47</v>
      </c>
      <c r="B83" s="6" t="s">
        <v>62</v>
      </c>
      <c r="C83" s="63">
        <v>122</v>
      </c>
      <c r="D83" s="103">
        <v>60.7</v>
      </c>
      <c r="E83" s="6"/>
      <c r="F83" s="106">
        <f>INT(0.5+1000*LN(5/15)/LN((D83-(0.15*C83))/(C83-(0.15*C83))))/1000</f>
        <v>1.228</v>
      </c>
      <c r="G83" s="56"/>
      <c r="H83" s="29"/>
    </row>
    <row r="84" spans="1:8" ht="15" customHeight="1" x14ac:dyDescent="0.25">
      <c r="A84" s="92" t="s">
        <v>48</v>
      </c>
      <c r="B84" s="1" t="s">
        <v>60</v>
      </c>
      <c r="C84" s="79">
        <v>91</v>
      </c>
      <c r="D84" s="103">
        <v>69.33</v>
      </c>
      <c r="E84" s="1">
        <v>8</v>
      </c>
      <c r="F84" s="105">
        <f>INT(0.5+1000*LN((500-(6*E84))/(1500-(6*E84)))/(LN((D84-6)/(C84-6))))/1000</f>
        <v>3.9649999999999999</v>
      </c>
      <c r="G84" s="43"/>
    </row>
    <row r="85" spans="1:8" ht="15" customHeight="1" x14ac:dyDescent="0.25">
      <c r="A85" s="92" t="s">
        <v>48</v>
      </c>
      <c r="B85" s="1" t="s">
        <v>61</v>
      </c>
      <c r="C85" s="79">
        <v>3540</v>
      </c>
      <c r="D85" s="103">
        <v>1449</v>
      </c>
      <c r="F85" s="105">
        <f>INT(0.5+1000*LN(5/15)/LN(D85/C85))/1000</f>
        <v>1.23</v>
      </c>
      <c r="G85" s="44">
        <v>3</v>
      </c>
    </row>
    <row r="86" spans="1:8" ht="15" customHeight="1" x14ac:dyDescent="0.25">
      <c r="A86" s="95" t="s">
        <v>48</v>
      </c>
      <c r="B86" s="6" t="s">
        <v>62</v>
      </c>
      <c r="C86" s="63">
        <v>103</v>
      </c>
      <c r="D86" s="103">
        <v>59.3</v>
      </c>
      <c r="E86" s="6"/>
      <c r="F86" s="106">
        <f>INT(0.5+1000*LN(5/15)/LN((D86-(0.15*C86))/(C86-(0.15*C86))))/1000</f>
        <v>1.589</v>
      </c>
      <c r="G86" s="56"/>
      <c r="H86" s="29"/>
    </row>
    <row r="87" spans="1:8" ht="15" customHeight="1" x14ac:dyDescent="0.25">
      <c r="A87" s="92" t="s">
        <v>49</v>
      </c>
      <c r="B87" s="1" t="s">
        <v>60</v>
      </c>
      <c r="C87" s="79">
        <v>80</v>
      </c>
      <c r="D87" s="103">
        <v>63.5</v>
      </c>
      <c r="E87" s="1">
        <v>8</v>
      </c>
      <c r="F87" s="105">
        <f>INT(0.5+1000*LN((500-(6*E87))/(1500-(6*E87)))/(LN((D87-6)/(C87-6))))/1000</f>
        <v>4.6260000000000003</v>
      </c>
      <c r="G87" s="43"/>
    </row>
    <row r="88" spans="1:8" ht="15" customHeight="1" x14ac:dyDescent="0.25">
      <c r="A88" s="92" t="s">
        <v>49</v>
      </c>
      <c r="B88" s="1" t="s">
        <v>61</v>
      </c>
      <c r="C88" s="79">
        <v>3020</v>
      </c>
      <c r="D88" s="103">
        <v>1615</v>
      </c>
      <c r="F88" s="105">
        <f>INT(0.5+1000*LN(5/15)/LN(D88/C88))/1000</f>
        <v>1.7549999999999999</v>
      </c>
      <c r="G88" s="44">
        <v>2</v>
      </c>
    </row>
    <row r="89" spans="1:8" ht="15" customHeight="1" x14ac:dyDescent="0.25">
      <c r="A89" s="95" t="s">
        <v>49</v>
      </c>
      <c r="B89" s="6" t="s">
        <v>62</v>
      </c>
      <c r="C89" s="63">
        <v>57</v>
      </c>
      <c r="D89" s="82">
        <v>37</v>
      </c>
      <c r="E89" s="6"/>
      <c r="F89" s="106">
        <f>INT(0.5+1000*LN(5/15)/LN((D89-(0.15*C89))/(C89-(0.15*C89))))/1000</f>
        <v>2.0640000000000001</v>
      </c>
      <c r="G89" s="56"/>
      <c r="H89" s="29"/>
    </row>
    <row r="90" spans="1:8" ht="15" customHeight="1" x14ac:dyDescent="0.25">
      <c r="A90" s="92" t="s">
        <v>50</v>
      </c>
      <c r="B90" s="1" t="s">
        <v>60</v>
      </c>
      <c r="C90" s="79">
        <v>71</v>
      </c>
      <c r="D90" s="103">
        <v>55.5</v>
      </c>
      <c r="E90" s="1">
        <v>8</v>
      </c>
      <c r="F90" s="105">
        <f>INT(0.5+1000*LN((500-(6*E90))/(1500-(6*E90)))/(LN((D90-6)/(C90-6))))/1000</f>
        <v>4.2839999999999998</v>
      </c>
      <c r="G90" s="43"/>
    </row>
    <row r="91" spans="1:8" ht="15" customHeight="1" x14ac:dyDescent="0.25">
      <c r="A91" s="92" t="s">
        <v>50</v>
      </c>
      <c r="B91" s="1" t="s">
        <v>61</v>
      </c>
      <c r="C91" s="79">
        <v>1670</v>
      </c>
      <c r="D91" s="103">
        <v>625</v>
      </c>
      <c r="F91" s="105">
        <f>INT(0.5+1000*LN(5/15)/LN(D91/C91))/1000</f>
        <v>1.1180000000000001</v>
      </c>
      <c r="G91" s="44">
        <v>2</v>
      </c>
    </row>
    <row r="92" spans="1:8" ht="15" customHeight="1" x14ac:dyDescent="0.25">
      <c r="A92" s="95" t="s">
        <v>50</v>
      </c>
      <c r="B92" s="6" t="s">
        <v>62</v>
      </c>
      <c r="C92" s="63">
        <v>45</v>
      </c>
      <c r="D92" s="82">
        <v>30</v>
      </c>
      <c r="E92" s="6"/>
      <c r="F92" s="106">
        <f>INT(0.5+1000*LN(5/15)/LN((D92-(0.15*C92))/(C92-(0.15*C92))))/1000</f>
        <v>2.2069999999999999</v>
      </c>
      <c r="G92" s="56"/>
      <c r="H92" s="29"/>
    </row>
    <row r="93" spans="1:8" ht="15" customHeight="1" x14ac:dyDescent="0.25">
      <c r="A93" s="92" t="s">
        <v>51</v>
      </c>
      <c r="B93" s="1" t="s">
        <v>60</v>
      </c>
      <c r="C93" s="79">
        <v>58</v>
      </c>
      <c r="D93" s="103">
        <v>47.5</v>
      </c>
      <c r="E93" s="1">
        <v>8</v>
      </c>
      <c r="F93" s="105">
        <f>INT(0.5+1000*LN((500-(6*E93))/(1500-(6*E93)))/(LN((D93-6)/(C93-6))))/1000</f>
        <v>5.1740000000000004</v>
      </c>
      <c r="G93" s="43"/>
    </row>
    <row r="94" spans="1:8" ht="15" customHeight="1" x14ac:dyDescent="0.25">
      <c r="A94" s="92" t="s">
        <v>51</v>
      </c>
      <c r="B94" s="1" t="s">
        <v>61</v>
      </c>
      <c r="C94" s="79">
        <v>1220</v>
      </c>
      <c r="D94" s="81">
        <v>811</v>
      </c>
      <c r="F94" s="105">
        <f>INT(0.5+1000*LN(5/15)/LN(D94/C94))/1000</f>
        <v>2.69</v>
      </c>
      <c r="G94" s="44">
        <v>2</v>
      </c>
    </row>
    <row r="95" spans="1:8" ht="15" customHeight="1" x14ac:dyDescent="0.25">
      <c r="A95" s="95" t="s">
        <v>51</v>
      </c>
      <c r="B95" s="6" t="s">
        <v>62</v>
      </c>
      <c r="C95" s="63">
        <v>32</v>
      </c>
      <c r="D95" s="82">
        <v>29</v>
      </c>
      <c r="E95" s="6"/>
      <c r="F95" s="106">
        <f>INT(0.5+1000*LN(5/15)/LN((D95-(0.15*C95))/(C95-(0.15*C95))))/1000</f>
        <v>9.4009999999999998</v>
      </c>
      <c r="G95" s="56"/>
      <c r="H95" s="29"/>
    </row>
    <row r="96" spans="1:8" ht="15" customHeight="1" x14ac:dyDescent="0.25">
      <c r="A96" s="92" t="s">
        <v>52</v>
      </c>
      <c r="B96" s="1" t="s">
        <v>60</v>
      </c>
      <c r="C96" s="79">
        <v>40</v>
      </c>
      <c r="D96" s="81">
        <v>16</v>
      </c>
      <c r="E96" s="1">
        <v>8</v>
      </c>
      <c r="F96" s="105">
        <f>INT(0.5+1000*LN((500-(6*E96))/(1500-(6*E96)))/(LN((D96-6)/(C96-6))))/1000</f>
        <v>0.95399999999999996</v>
      </c>
      <c r="G96" s="43"/>
    </row>
    <row r="97" spans="1:8" ht="15" customHeight="1" x14ac:dyDescent="0.25">
      <c r="A97" s="92" t="s">
        <v>52</v>
      </c>
      <c r="B97" s="1" t="s">
        <v>61</v>
      </c>
      <c r="C97" s="79">
        <v>1120</v>
      </c>
      <c r="D97" s="81">
        <v>279</v>
      </c>
      <c r="F97" s="105">
        <f>INT(0.5+1000*LN(5/15)/LN(D97/C97))/1000</f>
        <v>0.79</v>
      </c>
      <c r="G97" s="44">
        <v>2</v>
      </c>
    </row>
    <row r="98" spans="1:8" ht="15" customHeight="1" x14ac:dyDescent="0.25">
      <c r="A98" s="95" t="s">
        <v>52</v>
      </c>
      <c r="B98" s="6" t="s">
        <v>62</v>
      </c>
      <c r="C98" s="63">
        <v>22</v>
      </c>
      <c r="D98" s="82">
        <v>20</v>
      </c>
      <c r="E98" s="6"/>
      <c r="F98" s="106">
        <f>INT(0.5+1000*LN(5/15)/LN((D98-(0.15*C98))/(C98-(0.15*C98))))/1000</f>
        <v>9.7119999999999997</v>
      </c>
      <c r="G98" s="56"/>
      <c r="H98" s="29"/>
    </row>
    <row r="99" spans="1:8" ht="15" customHeight="1" x14ac:dyDescent="0.25">
      <c r="A99" s="92" t="s">
        <v>53</v>
      </c>
      <c r="B99" s="1" t="s">
        <v>60</v>
      </c>
      <c r="C99" s="79">
        <v>122.5</v>
      </c>
      <c r="D99" s="103">
        <v>83.5</v>
      </c>
      <c r="E99" s="1">
        <v>8</v>
      </c>
      <c r="F99" s="105">
        <f>INT(0.5+1000*LN((500-(6*E99))/(1500-(6*E99)))/(LN((D99-6)/(C99-6))))/1000</f>
        <v>2.863</v>
      </c>
      <c r="G99" s="43"/>
    </row>
    <row r="100" spans="1:8" ht="15" customHeight="1" x14ac:dyDescent="0.25">
      <c r="A100" s="92" t="s">
        <v>53</v>
      </c>
      <c r="B100" s="1" t="s">
        <v>61</v>
      </c>
      <c r="C100" s="79">
        <v>13020</v>
      </c>
      <c r="D100" s="103">
        <v>1070</v>
      </c>
      <c r="F100" s="105">
        <f>INT(0.5+1000*LN(5/15)/LN(D100/C100))/1000</f>
        <v>0.44</v>
      </c>
      <c r="G100" s="44">
        <v>3</v>
      </c>
    </row>
    <row r="101" spans="1:8" ht="15" customHeight="1" x14ac:dyDescent="0.25">
      <c r="A101" s="95" t="s">
        <v>53</v>
      </c>
      <c r="B101" s="6" t="s">
        <v>62</v>
      </c>
      <c r="C101" s="63">
        <v>250</v>
      </c>
      <c r="D101" s="103">
        <v>78.900000000000006</v>
      </c>
      <c r="E101" s="6"/>
      <c r="F101" s="106">
        <f>INT(0.5+1000*LN(5/15)/LN((D101-(0.15*C101))/(C101-(0.15*C101))))/1000</f>
        <v>0.67200000000000004</v>
      </c>
      <c r="G101" s="56"/>
      <c r="H101" s="29"/>
    </row>
    <row r="102" spans="1:8" ht="15" customHeight="1" x14ac:dyDescent="0.25">
      <c r="A102" s="92" t="s">
        <v>54</v>
      </c>
      <c r="B102" s="1" t="s">
        <v>60</v>
      </c>
      <c r="C102" s="79">
        <v>113</v>
      </c>
      <c r="D102" s="103">
        <v>67.45</v>
      </c>
      <c r="E102" s="1">
        <v>8</v>
      </c>
      <c r="F102" s="105">
        <f>INT(0.5+1000*LN((500-(6*E102))/(1500-(6*E102)))/(LN((D102-6)/(C102-6))))/1000</f>
        <v>2.1040000000000001</v>
      </c>
      <c r="G102" s="43"/>
    </row>
    <row r="103" spans="1:8" ht="15" customHeight="1" x14ac:dyDescent="0.25">
      <c r="A103" s="92" t="s">
        <v>54</v>
      </c>
      <c r="B103" s="1" t="s">
        <v>61</v>
      </c>
      <c r="C103" s="91">
        <v>11450</v>
      </c>
      <c r="D103" s="103">
        <v>1146.5</v>
      </c>
      <c r="F103" s="105">
        <f>INT(0.5+1000*LN(5/15)/LN(D103/C103))/1000</f>
        <v>0.47699999999999998</v>
      </c>
      <c r="G103" s="44">
        <v>3</v>
      </c>
    </row>
    <row r="104" spans="1:8" ht="15" customHeight="1" x14ac:dyDescent="0.25">
      <c r="A104" s="95" t="s">
        <v>54</v>
      </c>
      <c r="B104" s="6" t="s">
        <v>62</v>
      </c>
      <c r="C104" s="63">
        <v>188</v>
      </c>
      <c r="D104" s="103">
        <v>58</v>
      </c>
      <c r="E104" s="6"/>
      <c r="F104" s="106">
        <f>INT(0.5+1000*LN(5/15)/LN((D104-(0.15*C104))/(C104-(0.15*C104))))/1000</f>
        <v>0.65400000000000003</v>
      </c>
      <c r="G104" s="56"/>
      <c r="H104" s="29"/>
    </row>
    <row r="105" spans="1:8" ht="15" customHeight="1" x14ac:dyDescent="0.25">
      <c r="A105" s="92" t="s">
        <v>55</v>
      </c>
      <c r="B105" s="1" t="s">
        <v>60</v>
      </c>
      <c r="C105" s="79">
        <v>115.5</v>
      </c>
      <c r="D105" s="103">
        <v>84.5</v>
      </c>
      <c r="E105" s="1">
        <v>8</v>
      </c>
      <c r="F105" s="105">
        <f>INT(0.5+1000*LN((500-(6*E105))/(1500-(6*E105)))/(LN((D105-6)/(C105-6))))/1000</f>
        <v>3.5059999999999998</v>
      </c>
      <c r="H105" s="28"/>
    </row>
    <row r="106" spans="1:8" ht="15" customHeight="1" x14ac:dyDescent="0.25">
      <c r="A106" s="92" t="s">
        <v>55</v>
      </c>
      <c r="B106" s="1" t="s">
        <v>61</v>
      </c>
      <c r="C106" s="79">
        <v>11570</v>
      </c>
      <c r="D106" s="103">
        <v>1007</v>
      </c>
      <c r="F106" s="105">
        <f>INT(0.5+1000*LN(5/15)/LN(D106/C106))/1000</f>
        <v>0.45</v>
      </c>
      <c r="G106" s="44">
        <v>3</v>
      </c>
      <c r="H106" s="28"/>
    </row>
    <row r="107" spans="1:8" ht="15" customHeight="1" x14ac:dyDescent="0.25">
      <c r="A107" s="95" t="s">
        <v>55</v>
      </c>
      <c r="B107" s="6" t="s">
        <v>62</v>
      </c>
      <c r="C107" s="63">
        <v>215</v>
      </c>
      <c r="D107" s="103">
        <v>69.7</v>
      </c>
      <c r="E107" s="6"/>
      <c r="F107" s="106">
        <f>INT(0.5+1000*LN(5/15)/LN((D107-(0.15*C107))/(C107-(0.15*C107))))/1000</f>
        <v>0.69299999999999995</v>
      </c>
      <c r="G107" s="59"/>
      <c r="H107" s="28"/>
    </row>
    <row r="108" spans="1:8" ht="15" customHeight="1" x14ac:dyDescent="0.25">
      <c r="A108" s="101" t="s">
        <v>63</v>
      </c>
      <c r="B108" s="1" t="s">
        <v>60</v>
      </c>
      <c r="C108" s="79">
        <v>113</v>
      </c>
      <c r="D108" s="103">
        <v>66.34</v>
      </c>
      <c r="E108" s="1">
        <v>8</v>
      </c>
      <c r="F108" s="105">
        <f>INT(0.5+1000*LN((500-(6*E108))/(1500-(6*E108)))/(LN((D108-6)/(C108-6))))/1000</f>
        <v>2.0369999999999999</v>
      </c>
    </row>
    <row r="109" spans="1:8" ht="15" customHeight="1" x14ac:dyDescent="0.25">
      <c r="A109" s="101" t="s">
        <v>63</v>
      </c>
      <c r="B109" s="1" t="s">
        <v>61</v>
      </c>
      <c r="C109" s="79">
        <v>8540</v>
      </c>
      <c r="D109" s="103">
        <v>1207</v>
      </c>
      <c r="F109" s="105">
        <f>INT(0.5+1000*LN(5/15)/LN(D109/C109))/1000</f>
        <v>0.56100000000000005</v>
      </c>
      <c r="G109" s="44">
        <v>3</v>
      </c>
    </row>
    <row r="110" spans="1:8" ht="15" customHeight="1" x14ac:dyDescent="0.25">
      <c r="A110" s="102" t="s">
        <v>63</v>
      </c>
      <c r="B110" s="6" t="s">
        <v>62</v>
      </c>
      <c r="C110" s="63">
        <v>155</v>
      </c>
      <c r="D110" s="103">
        <v>53.95</v>
      </c>
      <c r="E110" s="6"/>
      <c r="F110" s="106">
        <f>INT(0.5+1000*LN(5/15)/LN((D110-(0.15*C110))/(C110-(0.15*C110))))/1000</f>
        <v>0.754</v>
      </c>
      <c r="G110" s="59"/>
    </row>
  </sheetData>
  <phoneticPr fontId="7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2026 NOPS Calculator</vt:lpstr>
      <vt:lpstr>Calculation Data</vt:lpstr>
      <vt:lpstr>NOPS Data</vt:lpstr>
      <vt:lpstr>Data_Key</vt:lpstr>
      <vt:lpstr>Div_List</vt:lpstr>
      <vt:lpstr>Div_Row</vt:lpstr>
      <vt:lpstr>Division</vt:lpstr>
      <vt:lpstr>Input_List</vt:lpstr>
      <vt:lpstr>JMP_Exp</vt:lpstr>
      <vt:lpstr>JMP_Recd</vt:lpstr>
      <vt:lpstr>Jump</vt:lpstr>
      <vt:lpstr>Jump_Score</vt:lpstr>
      <vt:lpstr>NOPS_List</vt:lpstr>
      <vt:lpstr>OA_Actual</vt:lpstr>
      <vt:lpstr>OA_Reqd</vt:lpstr>
      <vt:lpstr>OARatings</vt:lpstr>
      <vt:lpstr>Overall_Score</vt:lpstr>
      <vt:lpstr>Ratings</vt:lpstr>
      <vt:lpstr>Slalom</vt:lpstr>
      <vt:lpstr>Slalom_Score</vt:lpstr>
      <vt:lpstr>SLM_Exp</vt:lpstr>
      <vt:lpstr>SLM_Pts</vt:lpstr>
      <vt:lpstr>Slm_Recd</vt:lpstr>
      <vt:lpstr>Trick</vt:lpstr>
      <vt:lpstr>Trick_Score</vt:lpstr>
      <vt:lpstr>TRK_Exp</vt:lpstr>
      <vt:lpstr>Trk_Recd</vt:lpstr>
    </vt:vector>
  </TitlesOfParts>
  <Company>American Water Ski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Clark</dc:creator>
  <cp:lastModifiedBy>Kirby Whetsel</cp:lastModifiedBy>
  <cp:lastPrinted>2003-07-17T01:06:46Z</cp:lastPrinted>
  <dcterms:created xsi:type="dcterms:W3CDTF">2003-07-04T18:54:36Z</dcterms:created>
  <dcterms:modified xsi:type="dcterms:W3CDTF">2025-08-20T14:34:44Z</dcterms:modified>
</cp:coreProperties>
</file>