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C:\Users\anna.stark\Downloads\"/>
    </mc:Choice>
  </mc:AlternateContent>
  <xr:revisionPtr revIDLastSave="0" documentId="8_{47162D08-3786-405D-8F2B-CABF5763FC64}" xr6:coauthVersionLast="47" xr6:coauthVersionMax="47" xr10:uidLastSave="{00000000-0000-0000-0000-000000000000}"/>
  <bookViews>
    <workbookView showSheetTabs="0" xWindow="-110" yWindow="-110" windowWidth="19420" windowHeight="10300" tabRatio="424" activeTab="3" xr2:uid="{00000000-000D-0000-FFFF-FFFF00000000}"/>
  </bookViews>
  <sheets>
    <sheet name="MM" sheetId="27" r:id="rId1"/>
    <sheet name="SI" sheetId="26" r:id="rId2"/>
    <sheet name="BI" sheetId="18" r:id="rId3"/>
    <sheet name="ALLOWANCE1" sheetId="28" r:id="rId4"/>
    <sheet name="ALLOWANCE2" sheetId="31" r:id="rId5"/>
    <sheet name="SUMMARY" sheetId="20" r:id="rId6"/>
    <sheet name="EXTDAT" sheetId="30" r:id="rId7"/>
  </sheets>
  <definedNames>
    <definedName name="Accomodations11">EXTDAT!$C$55</definedName>
    <definedName name="Accomodations12">EXTDAT!$C$70</definedName>
    <definedName name="Accomodations13">EXTDAT!$C$85</definedName>
    <definedName name="Accomodations14">EXTDAT!$C$100</definedName>
    <definedName name="Accomodations15">EXTDAT!$C$115</definedName>
    <definedName name="Accomodations21">EXTDAT!$E$55</definedName>
    <definedName name="Accomodations22">EXTDAT!$E$70</definedName>
    <definedName name="Accomodations23">EXTDAT!$E$85</definedName>
    <definedName name="Accomodations24">EXTDAT!$E$100</definedName>
    <definedName name="Accomodations25">EXTDAT!$E$115</definedName>
    <definedName name="AllowanceDays11">EXTDAT!$C$58</definedName>
    <definedName name="AllowanceDays12">EXTDAT!$C$73</definedName>
    <definedName name="AllowanceDays13">EXTDAT!$C$88</definedName>
    <definedName name="AllowanceDays14">EXTDAT!$C$103</definedName>
    <definedName name="AllowanceDays15">EXTDAT!$C$118</definedName>
    <definedName name="AllowanceDays21">EXTDAT!$E$58</definedName>
    <definedName name="AllowanceDays22">EXTDAT!$E$73</definedName>
    <definedName name="AllowanceDays23">EXTDAT!$E$88</definedName>
    <definedName name="AllowanceDays24">EXTDAT!$E$103</definedName>
    <definedName name="AllowanceDays25">EXTDAT!$E$118</definedName>
    <definedName name="ArrivalTime11">EXTDAT!$C$64</definedName>
    <definedName name="ArrivalTime12">EXTDAT!$C$79</definedName>
    <definedName name="ArrivalTime13">EXTDAT!$C$94</definedName>
    <definedName name="ArrivalTime14">EXTDAT!$C$109</definedName>
    <definedName name="ArrivalTime15">EXTDAT!$C$124</definedName>
    <definedName name="ArrivalTime21">EXTDAT!$E$64</definedName>
    <definedName name="ArrivalTime22">EXTDAT!$E$79</definedName>
    <definedName name="ArrivalTime23">EXTDAT!$E$94</definedName>
    <definedName name="ArrivalTime24">EXTDAT!$E$109</definedName>
    <definedName name="ArrivalTime25">EXTDAT!$E$124</definedName>
    <definedName name="ArrivalTimeThresholdHalf">EXTDAT!$E$21</definedName>
    <definedName name="Breakfast">EXTDAT!$D$303</definedName>
    <definedName name="BreakfastRed">EXTDAT!$E$303</definedName>
    <definedName name="BreakfastRedHalf">EXTDAT!$F$317</definedName>
    <definedName name="CBList2">EXTDAT!$C$130:$C$300</definedName>
    <definedName name="DepartureTime11">EXTDAT!$C$61</definedName>
    <definedName name="DepartureTime12">EXTDAT!$C$76</definedName>
    <definedName name="DepartureTime13">EXTDAT!$C$91</definedName>
    <definedName name="DepartureTime14">EXTDAT!$C$106</definedName>
    <definedName name="DepartureTime15">EXTDAT!$C$121</definedName>
    <definedName name="DepartureTime21">EXTDAT!$E$61</definedName>
    <definedName name="DepartureTime22">EXTDAT!$E$76</definedName>
    <definedName name="DepartureTime23">EXTDAT!$E$91</definedName>
    <definedName name="DepartureTime24">EXTDAT!$E$106</definedName>
    <definedName name="DepartureTime25">EXTDAT!$E$121</definedName>
    <definedName name="DepartureTimeThresholdHalf">EXTDAT!$E$18</definedName>
    <definedName name="Dinner">EXTDAT!$D$305</definedName>
    <definedName name="DinnerRed">EXTDAT!$E$305</definedName>
    <definedName name="DinnerRedHalf">EXTDAT!$F$319</definedName>
    <definedName name="DmCompanyName">BI!$C$8</definedName>
    <definedName name="DmDepartmentName">BI!$C$11</definedName>
    <definedName name="DmEmployeeName">BI!$C$14</definedName>
    <definedName name="DmEmployeeNumber">BI!$C$17</definedName>
    <definedName name="DmTitleRow01ForSheetHeaders">EXTDAT!$C$12</definedName>
    <definedName name="DmTitleRow02ForSheetHeaders">EXTDAT!$C$15</definedName>
    <definedName name="Lunch">EXTDAT!$D$304</definedName>
    <definedName name="LunchRed">EXTDAT!$E$304</definedName>
    <definedName name="LunchRedHalf">EXTDAT!$F$318</definedName>
    <definedName name="_xlnm.Print_Area" localSheetId="3">ALLOWANCE1!$C$2:$J$65</definedName>
    <definedName name="_xlnm.Print_Area" localSheetId="4">ALLOWANCE2!$C$2:$J$65</definedName>
    <definedName name="_xlnm.Print_Area" localSheetId="2">BI!$B$2:$H$24</definedName>
    <definedName name="_xlnm.Print_Area" localSheetId="6">EXTDAT!$A$1:$H$321</definedName>
    <definedName name="_xlnm.Print_Area" localSheetId="1">SI!$B$2:$B$16</definedName>
    <definedName name="_xlnm.Print_Area" localSheetId="5">SUMMARY!$C$2:$J$26</definedName>
    <definedName name="_xlnm.Print_Titles" localSheetId="6">EXTDAT!$2:$4</definedName>
    <definedName name="ValidAllowanceDays11">EXTDAT!$C$52</definedName>
    <definedName name="ValidAllowanceDays12">EXTDAT!$C$67</definedName>
    <definedName name="ValidAllowanceDays13">EXTDAT!$C$82</definedName>
    <definedName name="ValidAllowanceDays14">EXTDAT!$C$97</definedName>
    <definedName name="ValidAllowanceDays15">EXTDAT!$C$112</definedName>
    <definedName name="ValidAllowanceDays21">EXTDAT!$E$52</definedName>
    <definedName name="ValidAllowanceDays22">EXTDAT!$E$67</definedName>
    <definedName name="ValidAllowanceDays23">EXTDAT!$E$82</definedName>
    <definedName name="ValidAllowanceDays24">EXTDAT!$E$97</definedName>
    <definedName name="ValidAllowanceDays25">EXTDAT!$E$112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5" i="30" l="1"/>
  <c r="E304" i="30"/>
  <c r="E168" i="30"/>
  <c r="E296" i="30" l="1"/>
  <c r="E295" i="30"/>
  <c r="E294" i="30"/>
  <c r="E293" i="30"/>
  <c r="E292" i="30"/>
  <c r="E290" i="30" l="1"/>
  <c r="E237" i="30"/>
  <c r="E154" i="30" l="1"/>
  <c r="E212" i="30" l="1"/>
  <c r="I4" i="20" l="1"/>
  <c r="J4" i="31"/>
  <c r="I6" i="20"/>
  <c r="E6" i="20"/>
  <c r="E4" i="20"/>
  <c r="C6" i="20"/>
  <c r="C4" i="20"/>
  <c r="C3" i="20"/>
  <c r="H6" i="31" l="1"/>
  <c r="D6" i="31"/>
  <c r="C6" i="31"/>
  <c r="D4" i="31"/>
  <c r="C4" i="31"/>
  <c r="I5" i="20" l="1"/>
  <c r="I7" i="20"/>
  <c r="E7" i="20"/>
  <c r="C7" i="20"/>
  <c r="E5" i="20"/>
  <c r="C5" i="20"/>
  <c r="H7" i="28"/>
  <c r="D7" i="28"/>
  <c r="C7" i="28"/>
  <c r="H5" i="28"/>
  <c r="D5" i="28"/>
  <c r="C5" i="28"/>
  <c r="C3" i="28"/>
  <c r="C2" i="28"/>
  <c r="H5" i="31" l="1"/>
  <c r="H7" i="31"/>
  <c r="D7" i="31"/>
  <c r="C7" i="31"/>
  <c r="D5" i="31"/>
  <c r="C5" i="31"/>
  <c r="C3" i="31"/>
  <c r="C2" i="31"/>
  <c r="B3" i="18"/>
  <c r="B4" i="18"/>
  <c r="B3" i="26"/>
  <c r="B4" i="26"/>
  <c r="B4" i="27" l="1"/>
  <c r="B3" i="27"/>
  <c r="C4" i="30"/>
  <c r="C3" i="30"/>
  <c r="I46" i="31" l="1"/>
  <c r="E109" i="30"/>
  <c r="E100" i="30" s="1"/>
  <c r="E106" i="30"/>
  <c r="E97" i="30"/>
  <c r="H46" i="31"/>
  <c r="J46" i="31"/>
  <c r="J49" i="31" s="1"/>
  <c r="H35" i="31"/>
  <c r="I35" i="31"/>
  <c r="J35" i="31"/>
  <c r="J38" i="31" s="1"/>
  <c r="H24" i="31"/>
  <c r="I24" i="31"/>
  <c r="J24" i="31"/>
  <c r="J27" i="31" s="1"/>
  <c r="E64" i="30"/>
  <c r="E55" i="30" s="1"/>
  <c r="E61" i="30"/>
  <c r="E52" i="30"/>
  <c r="H13" i="31" s="1"/>
  <c r="J13" i="31"/>
  <c r="J16" i="31" s="1"/>
  <c r="H35" i="28"/>
  <c r="I35" i="28"/>
  <c r="J35" i="28"/>
  <c r="J38" i="28" s="1"/>
  <c r="H24" i="28"/>
  <c r="I24" i="28"/>
  <c r="J24" i="28"/>
  <c r="J29" i="28" s="1"/>
  <c r="E124" i="30"/>
  <c r="E115" i="30" s="1"/>
  <c r="H58" i="31"/>
  <c r="I57" i="31"/>
  <c r="E49" i="30"/>
  <c r="J58" i="31" s="1"/>
  <c r="H58" i="28"/>
  <c r="I57" i="28"/>
  <c r="E35" i="30"/>
  <c r="J58" i="28" s="1"/>
  <c r="E94" i="30"/>
  <c r="E85" i="30" s="1"/>
  <c r="E91" i="30"/>
  <c r="E82" i="30"/>
  <c r="H36" i="31"/>
  <c r="E47" i="30"/>
  <c r="J36" i="31" s="1"/>
  <c r="H47" i="31"/>
  <c r="E48" i="30"/>
  <c r="J47" i="31" s="1"/>
  <c r="E121" i="30"/>
  <c r="E112" i="30"/>
  <c r="H57" i="31"/>
  <c r="J57" i="31"/>
  <c r="J62" i="31" s="1"/>
  <c r="C124" i="30"/>
  <c r="C115" i="30" s="1"/>
  <c r="C121" i="30"/>
  <c r="C112" i="30"/>
  <c r="E79" i="30"/>
  <c r="E70" i="30" s="1"/>
  <c r="E76" i="30"/>
  <c r="E67" i="30"/>
  <c r="H25" i="31"/>
  <c r="E46" i="30"/>
  <c r="J25" i="31" s="1"/>
  <c r="I13" i="31"/>
  <c r="H14" i="31"/>
  <c r="E45" i="30"/>
  <c r="J14" i="31" s="1"/>
  <c r="H57" i="28"/>
  <c r="C109" i="30"/>
  <c r="C100" i="30" s="1"/>
  <c r="C106" i="30"/>
  <c r="C97" i="30"/>
  <c r="H46" i="28"/>
  <c r="C94" i="30"/>
  <c r="C85" i="30" s="1"/>
  <c r="C91" i="30"/>
  <c r="C82" i="30"/>
  <c r="H47" i="28"/>
  <c r="I46" i="28"/>
  <c r="E34" i="30"/>
  <c r="J47" i="28" s="1"/>
  <c r="H25" i="28"/>
  <c r="E32" i="30"/>
  <c r="J25" i="28" s="1"/>
  <c r="H36" i="28"/>
  <c r="E33" i="30"/>
  <c r="J36" i="28" s="1"/>
  <c r="J57" i="28"/>
  <c r="J60" i="28" s="1"/>
  <c r="J46" i="28"/>
  <c r="J51" i="28" s="1"/>
  <c r="C64" i="30"/>
  <c r="C55" i="30" s="1"/>
  <c r="H14" i="28" s="1"/>
  <c r="E31" i="30" s="1"/>
  <c r="J14" i="28" s="1"/>
  <c r="I13" i="28"/>
  <c r="C61" i="30"/>
  <c r="F317" i="30"/>
  <c r="F318" i="30"/>
  <c r="F319" i="30"/>
  <c r="I26" i="28"/>
  <c r="C79" i="30"/>
  <c r="C70" i="30" s="1"/>
  <c r="C76" i="30"/>
  <c r="C67" i="30"/>
  <c r="E289" i="30"/>
  <c r="E281" i="30"/>
  <c r="E277" i="30"/>
  <c r="E255" i="30"/>
  <c r="E244" i="30"/>
  <c r="E231" i="30"/>
  <c r="E225" i="30"/>
  <c r="E223" i="30"/>
  <c r="E216" i="30"/>
  <c r="E202" i="30"/>
  <c r="E155" i="30"/>
  <c r="E153" i="30"/>
  <c r="E144" i="30"/>
  <c r="E230" i="30"/>
  <c r="E272" i="30"/>
  <c r="E268" i="30"/>
  <c r="E246" i="30"/>
  <c r="E241" i="30"/>
  <c r="E233" i="30"/>
  <c r="E210" i="30"/>
  <c r="E203" i="30"/>
  <c r="E196" i="30"/>
  <c r="E174" i="30"/>
  <c r="E133" i="30"/>
  <c r="E260" i="30"/>
  <c r="E254" i="30"/>
  <c r="E198" i="30"/>
  <c r="E166" i="30"/>
  <c r="E213" i="30"/>
  <c r="E180" i="30"/>
  <c r="E142" i="30"/>
  <c r="E134" i="30"/>
  <c r="E18" i="30"/>
  <c r="E21" i="30"/>
  <c r="E131" i="30"/>
  <c r="E132" i="30"/>
  <c r="E135" i="30"/>
  <c r="E136" i="30"/>
  <c r="E137" i="30"/>
  <c r="E138" i="30"/>
  <c r="E139" i="30"/>
  <c r="E140" i="30"/>
  <c r="E141" i="30"/>
  <c r="E143" i="30"/>
  <c r="E145" i="30"/>
  <c r="E146" i="30"/>
  <c r="E147" i="30"/>
  <c r="E148" i="30"/>
  <c r="E149" i="30"/>
  <c r="E150" i="30"/>
  <c r="E151" i="30"/>
  <c r="E152" i="30"/>
  <c r="E156" i="30"/>
  <c r="E157" i="30"/>
  <c r="E158" i="30"/>
  <c r="E159" i="30"/>
  <c r="E160" i="30"/>
  <c r="E161" i="30"/>
  <c r="E162" i="30"/>
  <c r="E163" i="30"/>
  <c r="E164" i="30"/>
  <c r="E165" i="30"/>
  <c r="E167" i="30"/>
  <c r="E169" i="30"/>
  <c r="E170" i="30"/>
  <c r="E171" i="30"/>
  <c r="E172" i="30"/>
  <c r="E173" i="30"/>
  <c r="E175" i="30"/>
  <c r="E176" i="30"/>
  <c r="E177" i="30"/>
  <c r="E178" i="30"/>
  <c r="E179" i="30"/>
  <c r="E181" i="30"/>
  <c r="E182" i="30"/>
  <c r="E183" i="30"/>
  <c r="E184" i="30"/>
  <c r="E185" i="30"/>
  <c r="E186" i="30"/>
  <c r="E187" i="30"/>
  <c r="E188" i="30"/>
  <c r="E189" i="30"/>
  <c r="E190" i="30"/>
  <c r="E191" i="30"/>
  <c r="E192" i="30"/>
  <c r="E193" i="30"/>
  <c r="E194" i="30"/>
  <c r="E195" i="30"/>
  <c r="E197" i="30"/>
  <c r="E199" i="30"/>
  <c r="E200" i="30"/>
  <c r="E201" i="30"/>
  <c r="E204" i="30"/>
  <c r="E205" i="30"/>
  <c r="E206" i="30"/>
  <c r="E207" i="30"/>
  <c r="E208" i="30"/>
  <c r="E209" i="30"/>
  <c r="E211" i="30"/>
  <c r="E214" i="30"/>
  <c r="E215" i="30"/>
  <c r="E217" i="30"/>
  <c r="E218" i="30"/>
  <c r="E219" i="30"/>
  <c r="E220" i="30"/>
  <c r="E221" i="30"/>
  <c r="E222" i="30"/>
  <c r="E224" i="30"/>
  <c r="E226" i="30"/>
  <c r="E227" i="30"/>
  <c r="E228" i="30"/>
  <c r="E229" i="30"/>
  <c r="E232" i="30"/>
  <c r="E234" i="30"/>
  <c r="E235" i="30"/>
  <c r="E236" i="30"/>
  <c r="E238" i="30"/>
  <c r="E239" i="30"/>
  <c r="E240" i="30"/>
  <c r="E242" i="30"/>
  <c r="E243" i="30"/>
  <c r="E245" i="30"/>
  <c r="E247" i="30"/>
  <c r="E248" i="30"/>
  <c r="E249" i="30"/>
  <c r="E250" i="30"/>
  <c r="E251" i="30"/>
  <c r="E252" i="30"/>
  <c r="E253" i="30"/>
  <c r="E256" i="30"/>
  <c r="E257" i="30"/>
  <c r="E258" i="30"/>
  <c r="E259" i="30"/>
  <c r="E261" i="30"/>
  <c r="E262" i="30"/>
  <c r="E263" i="30"/>
  <c r="E264" i="30"/>
  <c r="E265" i="30"/>
  <c r="E266" i="30"/>
  <c r="E267" i="30"/>
  <c r="E269" i="30"/>
  <c r="E270" i="30"/>
  <c r="E271" i="30"/>
  <c r="E273" i="30"/>
  <c r="E274" i="30"/>
  <c r="E275" i="30"/>
  <c r="E276" i="30"/>
  <c r="E278" i="30"/>
  <c r="E279" i="30"/>
  <c r="E280" i="30"/>
  <c r="E282" i="30"/>
  <c r="E283" i="30"/>
  <c r="E284" i="30"/>
  <c r="E285" i="30"/>
  <c r="E286" i="30"/>
  <c r="E287" i="30"/>
  <c r="E288" i="30"/>
  <c r="E291" i="30"/>
  <c r="E297" i="30"/>
  <c r="E298" i="30"/>
  <c r="E299" i="30"/>
  <c r="E300" i="30"/>
  <c r="E301" i="30"/>
  <c r="E303" i="30"/>
  <c r="C308" i="30"/>
  <c r="C309" i="30"/>
  <c r="C310" i="30"/>
  <c r="C12" i="20"/>
  <c r="C13" i="20"/>
  <c r="C14" i="20"/>
  <c r="C15" i="20"/>
  <c r="C16" i="20"/>
  <c r="C17" i="20"/>
  <c r="C21" i="20"/>
  <c r="C22" i="20"/>
  <c r="C23" i="20"/>
  <c r="C24" i="20"/>
  <c r="H10" i="31"/>
  <c r="H15" i="31"/>
  <c r="I15" i="31"/>
  <c r="J15" i="31"/>
  <c r="D16" i="31"/>
  <c r="D17" i="31"/>
  <c r="D18" i="31"/>
  <c r="D21" i="31"/>
  <c r="H21" i="31"/>
  <c r="D26" i="31"/>
  <c r="D59" i="31" s="1"/>
  <c r="H26" i="31"/>
  <c r="I26" i="31"/>
  <c r="J26" i="31"/>
  <c r="D27" i="31"/>
  <c r="D28" i="31"/>
  <c r="D29" i="31"/>
  <c r="D32" i="31"/>
  <c r="H32" i="31"/>
  <c r="D37" i="31"/>
  <c r="H37" i="31"/>
  <c r="I37" i="31"/>
  <c r="J37" i="31"/>
  <c r="D38" i="31"/>
  <c r="D39" i="31"/>
  <c r="D40" i="31"/>
  <c r="D43" i="31"/>
  <c r="H43" i="31"/>
  <c r="D48" i="31"/>
  <c r="H48" i="31"/>
  <c r="J48" i="31"/>
  <c r="D49" i="31"/>
  <c r="D50" i="31"/>
  <c r="D51" i="31"/>
  <c r="D54" i="31"/>
  <c r="H54" i="31"/>
  <c r="H59" i="31"/>
  <c r="J59" i="31"/>
  <c r="D60" i="31"/>
  <c r="D61" i="31"/>
  <c r="D62" i="31"/>
  <c r="H10" i="28"/>
  <c r="H15" i="28"/>
  <c r="J15" i="28"/>
  <c r="D16" i="28"/>
  <c r="D17" i="28"/>
  <c r="D18" i="28"/>
  <c r="D21" i="28"/>
  <c r="H21" i="28"/>
  <c r="D26" i="28"/>
  <c r="D59" i="28" s="1"/>
  <c r="H26" i="28"/>
  <c r="J26" i="28"/>
  <c r="D27" i="28"/>
  <c r="D28" i="28"/>
  <c r="D29" i="28"/>
  <c r="D32" i="28"/>
  <c r="H32" i="28"/>
  <c r="D37" i="28"/>
  <c r="H37" i="28"/>
  <c r="I37" i="28"/>
  <c r="J37" i="28"/>
  <c r="D38" i="28"/>
  <c r="D39" i="28"/>
  <c r="D40" i="28"/>
  <c r="D43" i="28"/>
  <c r="H43" i="28"/>
  <c r="D48" i="28"/>
  <c r="H48" i="28"/>
  <c r="J48" i="28"/>
  <c r="D49" i="28"/>
  <c r="D50" i="28"/>
  <c r="D51" i="28"/>
  <c r="D54" i="28"/>
  <c r="H54" i="28"/>
  <c r="H59" i="28"/>
  <c r="J59" i="28"/>
  <c r="D60" i="28"/>
  <c r="D61" i="28"/>
  <c r="D62" i="28"/>
  <c r="J40" i="31" l="1"/>
  <c r="J61" i="31"/>
  <c r="J39" i="31"/>
  <c r="J49" i="28"/>
  <c r="J60" i="31"/>
  <c r="J18" i="31"/>
  <c r="J17" i="31"/>
  <c r="J28" i="28"/>
  <c r="J27" i="28"/>
  <c r="C103" i="30"/>
  <c r="J28" i="31"/>
  <c r="C73" i="30"/>
  <c r="C58" i="30"/>
  <c r="C52" i="30" s="1"/>
  <c r="H13" i="28" s="1"/>
  <c r="J13" i="28" s="1"/>
  <c r="E118" i="30"/>
  <c r="E58" i="30"/>
  <c r="J51" i="31"/>
  <c r="E88" i="30"/>
  <c r="E73" i="30"/>
  <c r="C118" i="30"/>
  <c r="J50" i="28"/>
  <c r="J29" i="31"/>
  <c r="E103" i="30"/>
  <c r="J40" i="28"/>
  <c r="C88" i="30"/>
  <c r="J50" i="31"/>
  <c r="J62" i="28"/>
  <c r="J39" i="28"/>
  <c r="I15" i="28"/>
  <c r="J61" i="28"/>
  <c r="J41" i="31" l="1"/>
  <c r="F17" i="20" s="1"/>
  <c r="J52" i="28"/>
  <c r="F21" i="20" s="1"/>
  <c r="J63" i="31"/>
  <c r="F24" i="20" s="1"/>
  <c r="J19" i="31"/>
  <c r="F15" i="20" s="1"/>
  <c r="J30" i="28"/>
  <c r="F13" i="20" s="1"/>
  <c r="J30" i="31"/>
  <c r="F16" i="20" s="1"/>
  <c r="J41" i="28"/>
  <c r="F14" i="20" s="1"/>
  <c r="J52" i="31"/>
  <c r="F23" i="20" s="1"/>
  <c r="J63" i="28"/>
  <c r="F22" i="20" s="1"/>
  <c r="J17" i="28"/>
  <c r="J18" i="28"/>
  <c r="J16" i="28"/>
  <c r="J19" i="28" l="1"/>
  <c r="F12" i="20" s="1"/>
  <c r="F18" i="20" s="1"/>
  <c r="F25" i="20"/>
  <c r="H4" i="31"/>
</calcChain>
</file>

<file path=xl/sharedStrings.xml><?xml version="1.0" encoding="utf-8"?>
<sst xmlns="http://schemas.openxmlformats.org/spreadsheetml/2006/main" count="452" uniqueCount="319">
  <si>
    <t>Finland</t>
  </si>
  <si>
    <t>Frankrike</t>
  </si>
  <si>
    <t>Grekland</t>
  </si>
  <si>
    <t>Irland</t>
  </si>
  <si>
    <t>Island</t>
  </si>
  <si>
    <t>Nederländerna</t>
  </si>
  <si>
    <t>Norge</t>
  </si>
  <si>
    <t>Portugal</t>
  </si>
  <si>
    <t>Ryssland</t>
  </si>
  <si>
    <t>Schweiz</t>
  </si>
  <si>
    <t>Spanien</t>
  </si>
  <si>
    <t>Tyskland</t>
  </si>
  <si>
    <t>Ungern</t>
  </si>
  <si>
    <t>Datum</t>
  </si>
  <si>
    <t>Avresa</t>
  </si>
  <si>
    <t>Tid</t>
  </si>
  <si>
    <t>Hemkomst</t>
  </si>
  <si>
    <t>Land eller område</t>
  </si>
  <si>
    <t xml:space="preserve">Normalbelopp </t>
  </si>
  <si>
    <t>(exkl. logi)</t>
  </si>
  <si>
    <t>per dag, kr</t>
  </si>
  <si>
    <t>Albanien</t>
  </si>
  <si>
    <t>Algeriet</t>
  </si>
  <si>
    <t>Argentina</t>
  </si>
  <si>
    <t>Australien</t>
  </si>
  <si>
    <t>Azerbajdzjan</t>
  </si>
  <si>
    <t>Bahrain</t>
  </si>
  <si>
    <t>Bangladesh</t>
  </si>
  <si>
    <t>Belgien</t>
  </si>
  <si>
    <t>Bolivia</t>
  </si>
  <si>
    <t>Bosnien-Hercegovina</t>
  </si>
  <si>
    <t>Botswana</t>
  </si>
  <si>
    <t>Brasilien</t>
  </si>
  <si>
    <t>Brunei Darussalam</t>
  </si>
  <si>
    <t>Bulgarien</t>
  </si>
  <si>
    <t>Chile</t>
  </si>
  <si>
    <t>Colombia</t>
  </si>
  <si>
    <t>Costa Rica</t>
  </si>
  <si>
    <t>Cypern</t>
  </si>
  <si>
    <t>Ecuador</t>
  </si>
  <si>
    <t>Egypten</t>
  </si>
  <si>
    <t>El Salvador</t>
  </si>
  <si>
    <t>Estland</t>
  </si>
  <si>
    <t>Filippinerna</t>
  </si>
  <si>
    <t>Georgien</t>
  </si>
  <si>
    <t>Guyana</t>
  </si>
  <si>
    <t>Honduras</t>
  </si>
  <si>
    <t>Indien</t>
  </si>
  <si>
    <t>Indonesien</t>
  </si>
  <si>
    <t>Iran</t>
  </si>
  <si>
    <t>Israel</t>
  </si>
  <si>
    <t>Jamaica</t>
  </si>
  <si>
    <t>Japan</t>
  </si>
  <si>
    <t>Jordanien</t>
  </si>
  <si>
    <t>Kanada</t>
  </si>
  <si>
    <t>Kenya</t>
  </si>
  <si>
    <t>Kroatien</t>
  </si>
  <si>
    <t>Kuba</t>
  </si>
  <si>
    <t>Kuwait</t>
  </si>
  <si>
    <t>Laos</t>
  </si>
  <si>
    <t>Lettland</t>
  </si>
  <si>
    <t>Luxemburg</t>
  </si>
  <si>
    <t>Malaysia</t>
  </si>
  <si>
    <t>Malta</t>
  </si>
  <si>
    <t>Marocko</t>
  </si>
  <si>
    <t>Mexiko</t>
  </si>
  <si>
    <t>Moldavien</t>
  </si>
  <si>
    <t>Monaco</t>
  </si>
  <si>
    <t>Nepal</t>
  </si>
  <si>
    <t>Nigeria</t>
  </si>
  <si>
    <t>Nya Zeeland</t>
  </si>
  <si>
    <t>Pakistan</t>
  </si>
  <si>
    <t>Panama</t>
  </si>
  <si>
    <t>Paraguay</t>
  </si>
  <si>
    <t>Polen</t>
  </si>
  <si>
    <t>Rumänien</t>
  </si>
  <si>
    <t>Saudiarabien</t>
  </si>
  <si>
    <t>Senegal</t>
  </si>
  <si>
    <t>Singapore</t>
  </si>
  <si>
    <t>Slovakien</t>
  </si>
  <si>
    <t>Slovenien</t>
  </si>
  <si>
    <t>Sri Lanka</t>
  </si>
  <si>
    <t>Storbritannien och Nordirland</t>
  </si>
  <si>
    <t>Swaziland</t>
  </si>
  <si>
    <t>Sydafrika</t>
  </si>
  <si>
    <t>Sydkorea</t>
  </si>
  <si>
    <t>Tanzania</t>
  </si>
  <si>
    <t>Thailand</t>
  </si>
  <si>
    <t>Tjeckien</t>
  </si>
  <si>
    <t>Trinidad och Tobago</t>
  </si>
  <si>
    <t>Uganda</t>
  </si>
  <si>
    <t>Ukraina</t>
  </si>
  <si>
    <t>Uruguay</t>
  </si>
  <si>
    <t>Vietnam</t>
  </si>
  <si>
    <t>Zambia</t>
  </si>
  <si>
    <t>Österrike</t>
  </si>
  <si>
    <t>Övriga länder och områden</t>
  </si>
  <si>
    <t>(e. tre mån.)</t>
  </si>
  <si>
    <t>Land</t>
  </si>
  <si>
    <t>Turkiet</t>
  </si>
  <si>
    <t>Anställningsnummer</t>
  </si>
  <si>
    <t>Sverige</t>
  </si>
  <si>
    <t>Redovisningsperiod</t>
  </si>
  <si>
    <t>Slutdatum i redovisningsperioden</t>
  </si>
  <si>
    <t>Reducering för fri kost inom Sverige</t>
  </si>
  <si>
    <t>Frukost</t>
  </si>
  <si>
    <t>Lunch</t>
  </si>
  <si>
    <t>Middag</t>
  </si>
  <si>
    <t>Gambia</t>
  </si>
  <si>
    <t>Mali</t>
  </si>
  <si>
    <t>Rwanda</t>
  </si>
  <si>
    <t>B A S U P P G I F T E R</t>
  </si>
  <si>
    <t>Anställd</t>
  </si>
  <si>
    <t>Resans ändamål</t>
  </si>
  <si>
    <t>Antal
dagar</t>
  </si>
  <si>
    <t>Normal-
belopp</t>
  </si>
  <si>
    <t>Beräknat
traktamente</t>
  </si>
  <si>
    <t>Välj land ur listan…</t>
  </si>
  <si>
    <t>Tjänsteresa inom Sverige S1</t>
  </si>
  <si>
    <t>Tjänsteresa inom Sverige S2</t>
  </si>
  <si>
    <t>Tjänsteresa inom Sverige S3</t>
  </si>
  <si>
    <t>Tjänsteresa utomlands U1</t>
  </si>
  <si>
    <t>Bocka i om resan avser tid efter tre månader</t>
  </si>
  <si>
    <t>Tjänsteresa utomlands U2</t>
  </si>
  <si>
    <t>Totalt traktamente att erhålla för tjänsteresan</t>
  </si>
  <si>
    <t>322</t>
  </si>
  <si>
    <t>Tjänsteresa inom Sverige S4</t>
  </si>
  <si>
    <t>Tjänsteresa inom Sverige S5</t>
  </si>
  <si>
    <t>Tjänsteresa inom Sverige S6</t>
  </si>
  <si>
    <t>Tjänsteresa utomlands U3</t>
  </si>
  <si>
    <t>Tjänsteresa utomlands U4</t>
  </si>
  <si>
    <t>Traktamente</t>
  </si>
  <si>
    <t>Totalt i traktamente inom Sverige</t>
  </si>
  <si>
    <t>Inom Sverige</t>
  </si>
  <si>
    <t>Utomlands</t>
  </si>
  <si>
    <t>Totalt i traktamente utomlands</t>
  </si>
  <si>
    <t>Niklas Niklasson</t>
  </si>
  <si>
    <t>Uzbekistan</t>
  </si>
  <si>
    <t>T I L L  H U V U D M E N Y N</t>
  </si>
  <si>
    <t>S N A B B I N S T R U K T I O N</t>
  </si>
  <si>
    <r>
      <t xml:space="preserve">Huvudmenyn… </t>
    </r>
    <r>
      <rPr>
        <sz val="10"/>
        <rFont val="Arial"/>
        <family val="2"/>
      </rPr>
      <t xml:space="preserve">är den plats som du utgår från hela tiden i ditt arbete. Högst upp på varje blad har du en länk som tar dig tillbaka till huvudmenyn.
</t>
    </r>
  </si>
  <si>
    <r>
      <t xml:space="preserve">Utskrift… </t>
    </r>
    <r>
      <rPr>
        <sz val="10"/>
        <rFont val="Arial"/>
        <family val="2"/>
      </rPr>
      <t>får du genom att ange utskrift i programmet när du befinner dig på det blad du vill skriva ut. Pröva gärna med denna sida.</t>
    </r>
  </si>
  <si>
    <t>TILL ATT BÖRJA MED</t>
  </si>
  <si>
    <t>Snabbinstruktion</t>
  </si>
  <si>
    <t>Basuppgifter</t>
  </si>
  <si>
    <t>Kurs i materialåtgångs-beräkning hos Svenska Leverantörsbolaget AB</t>
  </si>
  <si>
    <t>Moçambique</t>
  </si>
  <si>
    <t>MeraDoku AB</t>
  </si>
  <si>
    <t>Mauretanien</t>
  </si>
  <si>
    <t>Förenade Arabemiraten</t>
  </si>
  <si>
    <t>Qatar</t>
  </si>
  <si>
    <t>Tunisien</t>
  </si>
  <si>
    <r>
      <t xml:space="preserve">Förhandsgranska… </t>
    </r>
    <r>
      <rPr>
        <sz val="10"/>
        <rFont val="Arial"/>
        <family val="2"/>
      </rPr>
      <t>är ett utmärkt val när du vill få en överblick över ett helt blad i arbetsboken (för att t.ex. kontrollera att du har fyllt i allting i basuppgifter).</t>
    </r>
  </si>
  <si>
    <t>Bahamas</t>
  </si>
  <si>
    <t>Grenada</t>
  </si>
  <si>
    <t>Kirgizistan</t>
  </si>
  <si>
    <t>E X T E R N A L  D A T A</t>
  </si>
  <si>
    <r>
      <t>Det är viktigt att…</t>
    </r>
    <r>
      <rPr>
        <sz val="10"/>
        <rFont val="Arial"/>
        <family val="2"/>
      </rPr>
      <t xml:space="preserve"> du läser igenom denna instruktion, som ger dig en snabb genomgång av hur dokumentmallen fungerar. När du läst igenom instruktionen så tar dig länken 'till huvudmenyn' högst upp på denna sida dig vidare till alla ingående blad i dokumentmallen.</t>
    </r>
  </si>
  <si>
    <t>FÖR BERÄKNING OCH BESKÅDANDE</t>
  </si>
  <si>
    <t>DMChoiceTimePeriod1</t>
  </si>
  <si>
    <t>DMChoiceTimePeriod2</t>
  </si>
  <si>
    <t>Sammanställning för perioden</t>
  </si>
  <si>
    <t>Irak</t>
  </si>
  <si>
    <t>Serbien</t>
  </si>
  <si>
    <t>ArrivalTime11</t>
  </si>
  <si>
    <t>DepartureTime11</t>
  </si>
  <si>
    <t>AllowanceDays11</t>
  </si>
  <si>
    <t>Accomodations11</t>
  </si>
  <si>
    <t>ValidAllowanceDays11</t>
  </si>
  <si>
    <t>Helt max. bel.</t>
  </si>
  <si>
    <t>70 % av max. bel.</t>
  </si>
  <si>
    <t>Halvt max. bel.</t>
  </si>
  <si>
    <t>DMChoice02TimePeriod1</t>
  </si>
  <si>
    <t>DMChoice02TimePeriod2</t>
  </si>
  <si>
    <t>Bocka i om arbetsgivaren bekostat måltidskostnader under tjänsteresan</t>
  </si>
  <si>
    <r>
      <t xml:space="preserve">Sammanställning… </t>
    </r>
    <r>
      <rPr>
        <sz val="10"/>
        <rFont val="Arial"/>
        <family val="2"/>
      </rPr>
      <t>är som namnet antyder just en sammanställning över dina traktamentesanspråk för perioden. Den visar vilka slags resor som företagits och hur mycket som ska betalas ut i traktamente för perioden.</t>
    </r>
  </si>
  <si>
    <r>
      <t xml:space="preserve">Hur du fyller i en Dokumeramall
</t>
    </r>
    <r>
      <rPr>
        <sz val="10"/>
        <rFont val="Arial"/>
        <family val="2"/>
      </rPr>
      <t>Dokumeramallar i Excel består till största delen av två typer av rutor. Det finns rutor som har röd text och ljusgul bakgrund och så finns det rutor som har svart eller mörkblå text och vit bakgrund. De ljusgula rutorna med röd text är öppna för dig att fylla i medan de vita rutorna är låsta, så att beräkningar, rubriker etc. inte av misstag ska kunna raderas eller bli fel.</t>
    </r>
  </si>
  <si>
    <r>
      <t xml:space="preserve">Basuppgifter… </t>
    </r>
    <r>
      <rPr>
        <sz val="10"/>
        <rFont val="Arial"/>
        <family val="2"/>
      </rPr>
      <t>är namnet på det blad dit du först ska gå och mata in de uppgifter som är specifika för dig och ditt  företag. När uppgifterna fyllts i kommer dessa automatiskt att överföras till övriga platser i din dokumentmall.</t>
    </r>
  </si>
  <si>
    <t>ValidAllowanceDays12</t>
  </si>
  <si>
    <t>ValidAllowanceDays13</t>
  </si>
  <si>
    <t>Accomodations13</t>
  </si>
  <si>
    <t>AllowanceDays13</t>
  </si>
  <si>
    <t>DepartureTime13</t>
  </si>
  <si>
    <t>ArrivalTime13</t>
  </si>
  <si>
    <t>ArrivalTime12</t>
  </si>
  <si>
    <t>DepartureTime12</t>
  </si>
  <si>
    <t>AllowanceDays12</t>
  </si>
  <si>
    <t>Accomodations12</t>
  </si>
  <si>
    <t>ValidAllowanceDays21</t>
  </si>
  <si>
    <t>Accomodations21</t>
  </si>
  <si>
    <t>AllowanceDays21</t>
  </si>
  <si>
    <t>DepartureTime21</t>
  </si>
  <si>
    <t>ArrivalTime21</t>
  </si>
  <si>
    <t>ValidAllowanceDays14</t>
  </si>
  <si>
    <t>Accomodations14</t>
  </si>
  <si>
    <t>AllowanceDays14</t>
  </si>
  <si>
    <t>DepartureTime14</t>
  </si>
  <si>
    <t>ArrivalTime14</t>
  </si>
  <si>
    <t>ValidAllowanceDays15</t>
  </si>
  <si>
    <t>Accomodations15</t>
  </si>
  <si>
    <t>AllowanceDays15</t>
  </si>
  <si>
    <t>DepartureTime15</t>
  </si>
  <si>
    <t>ArrivalTime15</t>
  </si>
  <si>
    <t>Reducering för fri kost utomlands</t>
  </si>
  <si>
    <t>Proc. av normalbeloppet som traktamentet ska minskas med</t>
  </si>
  <si>
    <t>ValidAllowanceDays22</t>
  </si>
  <si>
    <t>Accomodations22</t>
  </si>
  <si>
    <t>AllowanceDays22</t>
  </si>
  <si>
    <t>DepartureTime22</t>
  </si>
  <si>
    <t>ArrivalTime22</t>
  </si>
  <si>
    <t>ValidAllowanceDays23</t>
  </si>
  <si>
    <t>Accomodations23</t>
  </si>
  <si>
    <t>AllowanceDays23</t>
  </si>
  <si>
    <t>DepartureTime23</t>
  </si>
  <si>
    <t>ArrivalTime23</t>
  </si>
  <si>
    <t>ValidAllowanceDays24</t>
  </si>
  <si>
    <t>Accomodations24</t>
  </si>
  <si>
    <t>AllowanceDays24</t>
  </si>
  <si>
    <t>DepartureTime24</t>
  </si>
  <si>
    <t>ArrivalTime24</t>
  </si>
  <si>
    <t>ValidAllowanceDays25</t>
  </si>
  <si>
    <t>Accomodations25</t>
  </si>
  <si>
    <t>AllowanceDays25</t>
  </si>
  <si>
    <t>DepartureTime25</t>
  </si>
  <si>
    <t>ArrivalTime25</t>
  </si>
  <si>
    <t>DepartureTimeThresholdHalf</t>
  </si>
  <si>
    <t>ArrivalTimeThresholdHalf</t>
  </si>
  <si>
    <t>Armenien</t>
  </si>
  <si>
    <t>Ghana</t>
  </si>
  <si>
    <t>Haiti</t>
  </si>
  <si>
    <t>Maldiverna</t>
  </si>
  <si>
    <t>Benin</t>
  </si>
  <si>
    <t>Burkina Faso</t>
  </si>
  <si>
    <t>Djibouti</t>
  </si>
  <si>
    <t>Elfenbenskusten</t>
  </si>
  <si>
    <t>Etiopien</t>
  </si>
  <si>
    <t>Kambodja</t>
  </si>
  <si>
    <t>Liberia</t>
  </si>
  <si>
    <t>Mongoliet</t>
  </si>
  <si>
    <t>Nicaragua</t>
  </si>
  <si>
    <t>Kosovo</t>
  </si>
  <si>
    <t>Niger</t>
  </si>
  <si>
    <t>Saint Lucia</t>
  </si>
  <si>
    <t>Sierra Leone</t>
  </si>
  <si>
    <t>Togo</t>
  </si>
  <si>
    <t>Zimbabwe</t>
  </si>
  <si>
    <t>Antigua och Barbuda</t>
  </si>
  <si>
    <t>Barbados</t>
  </si>
  <si>
    <t>Guinea</t>
  </si>
  <si>
    <t>Litauen</t>
  </si>
  <si>
    <t>Eritrea</t>
  </si>
  <si>
    <t>Kazakstan</t>
  </si>
  <si>
    <t>Saint Vincent och Grenadinerna</t>
  </si>
  <si>
    <t>Seychellerna</t>
  </si>
  <si>
    <t>Angola</t>
  </si>
  <si>
    <t>Gabon</t>
  </si>
  <si>
    <t>Kamerun</t>
  </si>
  <si>
    <t>Nederländska Antillerna</t>
  </si>
  <si>
    <t>Oman</t>
  </si>
  <si>
    <t>Peru</t>
  </si>
  <si>
    <t>Sudan</t>
  </si>
  <si>
    <t>Taiwan</t>
  </si>
  <si>
    <t>Montenegro</t>
  </si>
  <si>
    <t>Belize</t>
  </si>
  <si>
    <t>Burma</t>
  </si>
  <si>
    <t>Centralafrikanska Republiken</t>
  </si>
  <si>
    <t>Madagaskar</t>
  </si>
  <si>
    <t>Malawi</t>
  </si>
  <si>
    <t>Mauritius</t>
  </si>
  <si>
    <t>Mikronesien</t>
  </si>
  <si>
    <t>Myanmar</t>
  </si>
  <si>
    <t>Papua Nya Guinea</t>
  </si>
  <si>
    <t>Samoa</t>
  </si>
  <si>
    <t>Tonga</t>
  </si>
  <si>
    <t>Turkmenistan</t>
  </si>
  <si>
    <t>Vanuatu</t>
  </si>
  <si>
    <r>
      <t xml:space="preserve">Traktamentsräkning för perioden… </t>
    </r>
    <r>
      <rPr>
        <sz val="10"/>
        <rFont val="Arial"/>
        <family val="2"/>
      </rPr>
      <t xml:space="preserve"> är namnet på de blad där du fyller i uppgifterna om dina tjänsteresor, d.v.s. vilka datum du påbörjat och avslutat en resa, var du varit, om du fått måltider betalda etc. Totalt finns två räkningar att tillgå. Du börjar med att fylla i räkning nr 1.</t>
    </r>
  </si>
  <si>
    <t>Den anställdes underskrift:</t>
  </si>
  <si>
    <t>Attest:</t>
  </si>
  <si>
    <t>Bocka i om arbetsgivaren ska betala skattefritt nattraktamente enligt schablonbelopp</t>
  </si>
  <si>
    <t>DMChoice03TimePeriod1</t>
  </si>
  <si>
    <t>DMNightAllowanceTimePeriod1</t>
  </si>
  <si>
    <t>DMNightAllowanceTimePeriod2</t>
  </si>
  <si>
    <t>DMChoice03TimePeriod2</t>
  </si>
  <si>
    <t>This color indicates cell content based on references to other worksheets.</t>
  </si>
  <si>
    <t>This color indicates cell content based on sheet internal references.</t>
  </si>
  <si>
    <t>This color indicates cell content from manual input by the application maintainer.</t>
  </si>
  <si>
    <t>DmTitleRow01ForSheetHeaders</t>
  </si>
  <si>
    <t>TRAKTAMENTSRÄKNING</t>
  </si>
  <si>
    <t>DmTitleRow02ForSheetHeaders</t>
  </si>
  <si>
    <t>H U V U D M E N Y</t>
  </si>
  <si>
    <t>Traktamentsräkning 1 för perioden</t>
  </si>
  <si>
    <t>Traktamentsräkning 2 för perioden</t>
  </si>
  <si>
    <t>maj</t>
  </si>
  <si>
    <t>Företag</t>
  </si>
  <si>
    <t>Avdelning</t>
  </si>
  <si>
    <t>SAMMANSTÄLLNING</t>
  </si>
  <si>
    <t>SKVs normalbelopp</t>
  </si>
  <si>
    <t>Försäljning</t>
  </si>
  <si>
    <r>
      <t>Dokumeramallen</t>
    </r>
    <r>
      <rPr>
        <sz val="10"/>
        <rFont val="Arial"/>
        <family val="2"/>
      </rPr>
      <t>… hjälper en anställd att sätta upp en traktamentsräkning</t>
    </r>
    <r>
      <rPr>
        <sz val="10"/>
        <rFont val="Arial"/>
        <family val="2"/>
      </rPr>
      <t xml:space="preserve"> för skattefria traktamenten avseende resor i tjänsten. Det går att göra två delräkningar för varje period, en räkning med upp till tre resor inom Sverige och en räkning med upp till två resor utomlands.</t>
    </r>
  </si>
  <si>
    <t>Räkningsnr</t>
  </si>
  <si>
    <t>NotInUse</t>
  </si>
  <si>
    <t>Libyen</t>
  </si>
  <si>
    <t>Italien</t>
  </si>
  <si>
    <t>Kongo (Brazzaville)</t>
  </si>
  <si>
    <t>Kongo (Dem. Republiken)</t>
  </si>
  <si>
    <t>Lichtenstein</t>
  </si>
  <si>
    <t>San Marino</t>
  </si>
  <si>
    <t>Nordmakedonien</t>
  </si>
  <si>
    <t>Venezuela</t>
  </si>
  <si>
    <t>Belarus</t>
  </si>
  <si>
    <t>Danmark</t>
  </si>
  <si>
    <t>Grönland</t>
  </si>
  <si>
    <t>Hong Kong</t>
  </si>
  <si>
    <t>Kina</t>
  </si>
  <si>
    <t>Macao</t>
  </si>
  <si>
    <t>Puerto Rico</t>
  </si>
  <si>
    <t>USA</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</si>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</sst>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quot; kr&quot;"/>
  </numFmts>
  <fonts count="41">
    <font>
      <sz val="10"/>
      <name val="Arial"/>
    </font>
    <font>
      <sz val="10"/>
      <name val="Arial"/>
      <family val="2"/>
    </font>
    <font>
      <b/>
      <sz val="10"/>
      <name val="Arial"/>
      <family val="2"/>
    </font>
    <font>
      <sz val="8"/>
      <name val="Arial"/>
      <family val="2"/>
    </font>
    <font>
      <sz val="9"/>
      <name val="Arial"/>
      <family val="2"/>
    </font>
    <font>
      <b/>
      <sz val="8"/>
      <name val="Arial"/>
      <family val="2"/>
    </font>
    <font>
      <b/>
      <sz val="9"/>
      <name val="Arial"/>
      <family val="2"/>
    </font>
    <font>
      <u/>
      <sz val="10"/>
      <color indexed="12"/>
      <name val="Arial"/>
      <family val="2"/>
    </font>
    <font>
      <i/>
      <sz val="12"/>
      <name val="Helv"/>
    </font>
    <font>
      <b/>
      <sz val="12"/>
      <color indexed="9"/>
      <name val="Arial"/>
      <family val="2"/>
    </font>
    <font>
      <b/>
      <sz val="9"/>
      <color indexed="10"/>
      <name val="Arial"/>
      <family val="2"/>
    </font>
    <font>
      <sz val="10"/>
      <name val="Arial Black"/>
      <family val="2"/>
    </font>
    <font>
      <sz val="9"/>
      <color indexed="10"/>
      <name val="Arial"/>
      <family val="2"/>
    </font>
    <font>
      <sz val="10"/>
      <name val="Arial"/>
      <family val="2"/>
    </font>
    <font>
      <sz val="10"/>
      <color indexed="9"/>
      <name val="Arial"/>
      <family val="2"/>
    </font>
    <font>
      <sz val="8"/>
      <color indexed="9"/>
      <name val="Arial"/>
      <family val="2"/>
    </font>
    <font>
      <b/>
      <sz val="9"/>
      <color indexed="9"/>
      <name val="Arial"/>
      <family val="2"/>
    </font>
    <font>
      <b/>
      <sz val="11"/>
      <name val="Arial"/>
      <family val="2"/>
    </font>
    <font>
      <sz val="22"/>
      <color indexed="18"/>
      <name val="Arial Black"/>
      <family val="2"/>
    </font>
    <font>
      <sz val="7"/>
      <name val="Arial"/>
      <family val="2"/>
    </font>
    <font>
      <u/>
      <sz val="9"/>
      <color indexed="9"/>
      <name val="Arial Black"/>
      <family val="2"/>
    </font>
    <font>
      <sz val="10"/>
      <name val="Geneva"/>
    </font>
    <font>
      <sz val="9"/>
      <name val="Arial"/>
      <family val="2"/>
    </font>
    <font>
      <b/>
      <sz val="7"/>
      <color indexed="9"/>
      <name val="Arial"/>
      <family val="2"/>
    </font>
    <font>
      <sz val="10"/>
      <name val="Arial"/>
      <family val="2"/>
    </font>
    <font>
      <sz val="8"/>
      <name val="Arial"/>
      <family val="2"/>
    </font>
    <font>
      <sz val="18"/>
      <name val="Arial"/>
      <family val="2"/>
    </font>
    <font>
      <i/>
      <sz val="8"/>
      <color indexed="10"/>
      <name val="Arial"/>
      <family val="2"/>
    </font>
    <font>
      <u/>
      <sz val="9"/>
      <color indexed="12"/>
      <name val="Arial"/>
      <family val="2"/>
    </font>
    <font>
      <b/>
      <sz val="12"/>
      <name val="Arial"/>
      <family val="2"/>
    </font>
    <font>
      <b/>
      <sz val="8"/>
      <name val="Arial"/>
      <family val="2"/>
    </font>
    <font>
      <b/>
      <sz val="9"/>
      <color indexed="18"/>
      <name val="Arial"/>
      <family val="2"/>
    </font>
    <font>
      <sz val="8"/>
      <color indexed="18"/>
      <name val="Arial"/>
      <family val="2"/>
    </font>
    <font>
      <sz val="10"/>
      <color indexed="18"/>
      <name val="Arial"/>
      <family val="2"/>
    </font>
    <font>
      <b/>
      <sz val="8"/>
      <color indexed="18"/>
      <name val="Arial"/>
      <family val="2"/>
    </font>
    <font>
      <b/>
      <sz val="8"/>
      <color indexed="18"/>
      <name val="Arial"/>
      <family val="2"/>
    </font>
    <font>
      <sz val="10"/>
      <color indexed="9"/>
      <name val="Arial"/>
      <family val="2"/>
    </font>
    <font>
      <sz val="9"/>
      <name val="Arial"/>
      <family val="2"/>
    </font>
    <font>
      <i/>
      <sz val="9"/>
      <color indexed="10"/>
      <name val="Arial"/>
      <family val="2"/>
    </font>
    <font>
      <sz val="22"/>
      <name val="Arial"/>
      <family val="2"/>
    </font>
    <font>
      <u/>
      <sz val="9"/>
      <color theme="0"/>
      <name val="Arial Black"/>
      <family val="2"/>
    </font>
  </fonts>
  <fills count="8">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lightGray">
        <fgColor rgb="FF717171"/>
        <bgColor rgb="FF85A3FF"/>
      </patternFill>
    </fill>
  </fills>
  <borders count="66">
    <border>
      <left/>
      <right/>
      <top/>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s>
  <cellStyleXfs count="11">
    <xf numFmtId="0" fontId="0" fillId="0" borderId="0"/>
    <xf numFmtId="0" fontId="6" fillId="0" borderId="1" applyBorder="0">
      <alignment horizontal="left" vertical="top"/>
    </xf>
    <xf numFmtId="0" fontId="9" fillId="2" borderId="0">
      <alignment horizontal="center" vertical="center"/>
    </xf>
    <xf numFmtId="0" fontId="7" fillId="0" borderId="0" applyNumberFormat="0" applyFill="0" applyBorder="0" applyAlignment="0" applyProtection="0">
      <alignment vertical="top"/>
      <protection locked="0"/>
    </xf>
    <xf numFmtId="0" fontId="8" fillId="0" borderId="0"/>
    <xf numFmtId="0" fontId="1" fillId="0" borderId="0"/>
    <xf numFmtId="0" fontId="22" fillId="0" borderId="0"/>
    <xf numFmtId="9" fontId="1" fillId="0" borderId="0" applyFont="0" applyFill="0" applyBorder="0" applyAlignment="0" applyProtection="0"/>
    <xf numFmtId="38" fontId="21" fillId="0" borderId="0" applyFont="0" applyFill="0" applyBorder="0" applyAlignment="0" applyProtection="0"/>
    <xf numFmtId="164" fontId="21" fillId="0" borderId="0" applyFont="0" applyFill="0" applyBorder="0" applyAlignment="0" applyProtection="0"/>
    <xf numFmtId="0" fontId="13" fillId="0" borderId="0"/>
  </cellStyleXfs>
  <cellXfs count="282">
    <xf numFmtId="0" fontId="0" fillId="0" borderId="0" xfId="0"/>
    <xf numFmtId="0" fontId="0" fillId="0" borderId="0" xfId="0" applyProtection="1">
      <protection hidden="1"/>
    </xf>
    <xf numFmtId="0" fontId="3" fillId="0" borderId="0" xfId="0" applyFont="1" applyProtection="1">
      <protection hidden="1"/>
    </xf>
    <xf numFmtId="4" fontId="0" fillId="0" borderId="0" xfId="0" applyNumberFormat="1" applyProtection="1">
      <protection hidden="1"/>
    </xf>
    <xf numFmtId="0" fontId="4" fillId="0" borderId="0" xfId="0" applyFont="1" applyProtection="1">
      <protection hidden="1"/>
    </xf>
    <xf numFmtId="0" fontId="3" fillId="3" borderId="2" xfId="0" applyFont="1" applyFill="1" applyBorder="1" applyAlignment="1" applyProtection="1">
      <alignment horizontal="left" indent="1"/>
      <protection hidden="1"/>
    </xf>
    <xf numFmtId="14" fontId="12" fillId="4" borderId="3" xfId="0" applyNumberFormat="1" applyFont="1" applyFill="1" applyBorder="1" applyProtection="1">
      <protection locked="0"/>
    </xf>
    <xf numFmtId="20" fontId="12" fillId="4" borderId="3" xfId="0" applyNumberFormat="1" applyFont="1" applyFill="1" applyBorder="1" applyProtection="1">
      <protection locked="0"/>
    </xf>
    <xf numFmtId="20" fontId="12" fillId="4" borderId="4" xfId="0" applyNumberFormat="1" applyFont="1" applyFill="1" applyBorder="1" applyProtection="1">
      <protection locked="0"/>
    </xf>
    <xf numFmtId="3" fontId="4" fillId="3" borderId="2" xfId="0" applyNumberFormat="1" applyFont="1" applyFill="1" applyBorder="1" applyProtection="1">
      <protection hidden="1"/>
    </xf>
    <xf numFmtId="1" fontId="12" fillId="4" borderId="5" xfId="0" applyNumberFormat="1" applyFont="1" applyFill="1" applyBorder="1" applyProtection="1">
      <protection locked="0"/>
    </xf>
    <xf numFmtId="3" fontId="4" fillId="3" borderId="5" xfId="0" applyNumberFormat="1" applyFont="1" applyFill="1" applyBorder="1" applyProtection="1">
      <protection hidden="1"/>
    </xf>
    <xf numFmtId="1" fontId="12" fillId="4" borderId="3" xfId="0" applyNumberFormat="1" applyFont="1" applyFill="1" applyBorder="1" applyProtection="1">
      <protection locked="0"/>
    </xf>
    <xf numFmtId="14" fontId="12" fillId="4" borderId="6" xfId="0" applyNumberFormat="1" applyFont="1" applyFill="1" applyBorder="1" applyProtection="1">
      <protection locked="0"/>
    </xf>
    <xf numFmtId="0" fontId="4" fillId="3" borderId="2" xfId="0" applyFont="1" applyFill="1" applyBorder="1" applyProtection="1">
      <protection hidden="1"/>
    </xf>
    <xf numFmtId="165" fontId="4" fillId="3" borderId="3" xfId="0" applyNumberFormat="1" applyFont="1" applyFill="1" applyBorder="1" applyProtection="1">
      <protection hidden="1"/>
    </xf>
    <xf numFmtId="0" fontId="12" fillId="4" borderId="3" xfId="0" applyFont="1" applyFill="1" applyBorder="1" applyAlignment="1" applyProtection="1">
      <alignment horizontal="left" indent="1"/>
      <protection locked="0"/>
    </xf>
    <xf numFmtId="0" fontId="15" fillId="0" borderId="0" xfId="0" applyFont="1" applyProtection="1">
      <protection hidden="1"/>
    </xf>
    <xf numFmtId="0" fontId="15" fillId="0" borderId="0" xfId="0" applyFont="1" applyAlignment="1" applyProtection="1">
      <alignment horizontal="center"/>
      <protection hidden="1"/>
    </xf>
    <xf numFmtId="3" fontId="14" fillId="0" borderId="0" xfId="0" applyNumberFormat="1" applyFont="1" applyProtection="1">
      <protection hidden="1"/>
    </xf>
    <xf numFmtId="3" fontId="6" fillId="3" borderId="7" xfId="0" applyNumberFormat="1" applyFont="1" applyFill="1" applyBorder="1" applyAlignment="1" applyProtection="1">
      <alignment horizontal="right" vertical="center"/>
      <protection hidden="1"/>
    </xf>
    <xf numFmtId="0" fontId="0" fillId="4" borderId="8" xfId="0" applyFill="1" applyBorder="1" applyAlignment="1" applyProtection="1">
      <alignment horizontal="left" vertical="center" indent="1"/>
      <protection hidden="1"/>
    </xf>
    <xf numFmtId="0" fontId="1" fillId="0" borderId="0" xfId="5" applyProtection="1">
      <protection hidden="1"/>
    </xf>
    <xf numFmtId="0" fontId="18" fillId="3" borderId="0" xfId="5" applyFont="1" applyFill="1" applyAlignment="1" applyProtection="1">
      <alignment horizontal="center"/>
      <protection hidden="1"/>
    </xf>
    <xf numFmtId="0" fontId="1" fillId="0" borderId="0" xfId="5" applyAlignment="1" applyProtection="1">
      <alignment horizontal="center" vertical="center"/>
      <protection hidden="1"/>
    </xf>
    <xf numFmtId="0" fontId="11" fillId="3" borderId="0" xfId="5" applyFont="1" applyFill="1" applyAlignment="1" applyProtection="1">
      <alignment horizontal="center" vertical="center"/>
      <protection hidden="1"/>
    </xf>
    <xf numFmtId="0" fontId="2" fillId="3" borderId="0" xfId="5" applyFont="1" applyFill="1" applyAlignment="1" applyProtection="1">
      <alignment horizontal="left" vertical="top" wrapText="1" indent="1"/>
      <protection hidden="1"/>
    </xf>
    <xf numFmtId="0" fontId="1" fillId="3" borderId="0" xfId="5" applyFill="1" applyProtection="1">
      <protection hidden="1"/>
    </xf>
    <xf numFmtId="0" fontId="4" fillId="0" borderId="0" xfId="5" applyFont="1" applyProtection="1">
      <protection hidden="1"/>
    </xf>
    <xf numFmtId="49" fontId="19" fillId="3" borderId="5" xfId="0" applyNumberFormat="1" applyFont="1" applyFill="1" applyBorder="1" applyAlignment="1" applyProtection="1">
      <alignment horizontal="left" vertical="center" indent="1"/>
      <protection hidden="1"/>
    </xf>
    <xf numFmtId="49" fontId="6" fillId="5" borderId="9" xfId="0" quotePrefix="1" applyNumberFormat="1" applyFont="1" applyFill="1" applyBorder="1" applyAlignment="1" applyProtection="1">
      <alignment horizontal="left" vertical="center" indent="1"/>
      <protection locked="0"/>
    </xf>
    <xf numFmtId="49" fontId="6" fillId="5" borderId="5" xfId="0" quotePrefix="1" applyNumberFormat="1" applyFont="1" applyFill="1" applyBorder="1" applyAlignment="1" applyProtection="1">
      <alignment horizontal="left" vertical="center" indent="1"/>
      <protection locked="0"/>
    </xf>
    <xf numFmtId="0" fontId="10" fillId="4" borderId="5" xfId="0" applyFont="1" applyFill="1" applyBorder="1" applyAlignment="1" applyProtection="1">
      <alignment vertical="center"/>
      <protection hidden="1"/>
    </xf>
    <xf numFmtId="0" fontId="10" fillId="4" borderId="5" xfId="0" applyFont="1" applyFill="1" applyBorder="1" applyProtection="1">
      <protection hidden="1"/>
    </xf>
    <xf numFmtId="3" fontId="10" fillId="4" borderId="10" xfId="0" applyNumberFormat="1" applyFont="1" applyFill="1" applyBorder="1" applyProtection="1">
      <protection hidden="1"/>
    </xf>
    <xf numFmtId="9" fontId="10" fillId="4" borderId="0" xfId="7" applyFont="1" applyFill="1" applyBorder="1" applyProtection="1">
      <protection hidden="1"/>
    </xf>
    <xf numFmtId="3" fontId="4" fillId="3" borderId="11" xfId="0" applyNumberFormat="1" applyFont="1" applyFill="1" applyBorder="1" applyProtection="1">
      <protection hidden="1"/>
    </xf>
    <xf numFmtId="0" fontId="10" fillId="4" borderId="11" xfId="0" applyFont="1" applyFill="1" applyBorder="1" applyProtection="1">
      <protection hidden="1"/>
    </xf>
    <xf numFmtId="0" fontId="10" fillId="4" borderId="9" xfId="0" applyFont="1" applyFill="1" applyBorder="1" applyProtection="1">
      <protection hidden="1"/>
    </xf>
    <xf numFmtId="0" fontId="10" fillId="4" borderId="9" xfId="0" applyFont="1" applyFill="1" applyBorder="1" applyAlignment="1" applyProtection="1">
      <alignment horizontal="left" vertical="center" indent="1"/>
      <protection hidden="1"/>
    </xf>
    <xf numFmtId="3" fontId="4" fillId="3" borderId="4" xfId="0" applyNumberFormat="1" applyFont="1" applyFill="1" applyBorder="1" applyProtection="1">
      <protection hidden="1"/>
    </xf>
    <xf numFmtId="3" fontId="4" fillId="3" borderId="3" xfId="0" applyNumberFormat="1" applyFont="1" applyFill="1" applyBorder="1" applyProtection="1">
      <protection hidden="1"/>
    </xf>
    <xf numFmtId="1" fontId="4" fillId="3" borderId="5" xfId="0" applyNumberFormat="1" applyFont="1" applyFill="1" applyBorder="1" applyProtection="1">
      <protection locked="0"/>
    </xf>
    <xf numFmtId="49" fontId="19" fillId="3" borderId="12" xfId="0" applyNumberFormat="1" applyFont="1" applyFill="1" applyBorder="1" applyAlignment="1" applyProtection="1">
      <alignment horizontal="left" vertical="center" indent="1"/>
      <protection hidden="1"/>
    </xf>
    <xf numFmtId="49" fontId="6" fillId="5" borderId="12" xfId="0" quotePrefix="1" applyNumberFormat="1" applyFont="1" applyFill="1" applyBorder="1" applyAlignment="1" applyProtection="1">
      <alignment horizontal="left" vertical="center" indent="1"/>
      <protection locked="0"/>
    </xf>
    <xf numFmtId="49" fontId="6" fillId="5" borderId="13" xfId="0" quotePrefix="1" applyNumberFormat="1" applyFont="1" applyFill="1" applyBorder="1" applyAlignment="1" applyProtection="1">
      <alignment horizontal="left" vertical="center" indent="1"/>
      <protection locked="0"/>
    </xf>
    <xf numFmtId="49" fontId="19" fillId="3" borderId="8" xfId="0" applyNumberFormat="1" applyFont="1" applyFill="1" applyBorder="1" applyAlignment="1" applyProtection="1">
      <alignment horizontal="left" vertical="center" indent="1"/>
      <protection hidden="1"/>
    </xf>
    <xf numFmtId="0" fontId="31" fillId="3" borderId="5" xfId="0" applyFont="1" applyFill="1" applyBorder="1" applyAlignment="1" applyProtection="1">
      <alignment horizontal="left" vertical="center" indent="1"/>
      <protection hidden="1"/>
    </xf>
    <xf numFmtId="3" fontId="6" fillId="3" borderId="0" xfId="0" applyNumberFormat="1" applyFont="1" applyFill="1" applyAlignment="1" applyProtection="1">
      <alignment horizontal="right" vertical="center"/>
      <protection hidden="1"/>
    </xf>
    <xf numFmtId="0" fontId="6" fillId="3" borderId="14" xfId="0" applyFont="1" applyFill="1" applyBorder="1" applyAlignment="1" applyProtection="1">
      <alignment horizontal="left" vertical="center" indent="1"/>
      <protection hidden="1"/>
    </xf>
    <xf numFmtId="0" fontId="0" fillId="4" borderId="15" xfId="0" applyFill="1" applyBorder="1" applyAlignment="1" applyProtection="1">
      <alignment horizontal="left" vertical="center" indent="1"/>
      <protection hidden="1"/>
    </xf>
    <xf numFmtId="0" fontId="6" fillId="3" borderId="16" xfId="0" applyFont="1" applyFill="1" applyBorder="1" applyAlignment="1" applyProtection="1">
      <alignment horizontal="left" vertical="center" indent="1"/>
      <protection hidden="1"/>
    </xf>
    <xf numFmtId="0" fontId="4" fillId="3" borderId="17" xfId="0" applyFont="1" applyFill="1" applyBorder="1" applyProtection="1">
      <protection hidden="1"/>
    </xf>
    <xf numFmtId="3" fontId="4" fillId="3" borderId="18" xfId="0" applyNumberFormat="1" applyFont="1" applyFill="1" applyBorder="1" applyProtection="1">
      <protection hidden="1"/>
    </xf>
    <xf numFmtId="0" fontId="12" fillId="3" borderId="19" xfId="0" applyFont="1" applyFill="1" applyBorder="1" applyAlignment="1" applyProtection="1">
      <alignment horizontal="left" indent="1"/>
      <protection hidden="1"/>
    </xf>
    <xf numFmtId="1" fontId="12" fillId="4" borderId="20" xfId="0" applyNumberFormat="1" applyFont="1" applyFill="1" applyBorder="1" applyProtection="1">
      <protection locked="0"/>
    </xf>
    <xf numFmtId="3" fontId="4" fillId="3" borderId="21" xfId="0" applyNumberFormat="1" applyFont="1" applyFill="1" applyBorder="1" applyProtection="1">
      <protection hidden="1"/>
    </xf>
    <xf numFmtId="3" fontId="4" fillId="3" borderId="22" xfId="0" applyNumberFormat="1" applyFont="1" applyFill="1" applyBorder="1" applyProtection="1">
      <protection hidden="1"/>
    </xf>
    <xf numFmtId="0" fontId="6" fillId="3" borderId="17" xfId="0" applyFont="1" applyFill="1" applyBorder="1" applyAlignment="1" applyProtection="1">
      <alignment horizontal="left" vertical="center" indent="1"/>
      <protection hidden="1"/>
    </xf>
    <xf numFmtId="1" fontId="4" fillId="3" borderId="9" xfId="0" applyNumberFormat="1" applyFont="1" applyFill="1" applyBorder="1" applyProtection="1">
      <protection locked="0"/>
    </xf>
    <xf numFmtId="0" fontId="31" fillId="3" borderId="23" xfId="0" applyFont="1" applyFill="1" applyBorder="1" applyAlignment="1" applyProtection="1">
      <alignment horizontal="left" vertical="center" indent="1"/>
      <protection hidden="1"/>
    </xf>
    <xf numFmtId="0" fontId="32" fillId="3" borderId="2" xfId="0" applyFont="1" applyFill="1" applyBorder="1" applyAlignment="1" applyProtection="1">
      <alignment horizontal="left" indent="1"/>
      <protection hidden="1"/>
    </xf>
    <xf numFmtId="49" fontId="19" fillId="3" borderId="24" xfId="0" applyNumberFormat="1" applyFont="1" applyFill="1" applyBorder="1" applyAlignment="1" applyProtection="1">
      <alignment horizontal="left" vertical="center" indent="1"/>
      <protection hidden="1"/>
    </xf>
    <xf numFmtId="49" fontId="19" fillId="3" borderId="26" xfId="0" applyNumberFormat="1" applyFont="1" applyFill="1" applyBorder="1" applyAlignment="1" applyProtection="1">
      <alignment horizontal="left" vertical="center" indent="1"/>
      <protection hidden="1"/>
    </xf>
    <xf numFmtId="49" fontId="19" fillId="3" borderId="27" xfId="0" applyNumberFormat="1" applyFont="1" applyFill="1" applyBorder="1" applyAlignment="1" applyProtection="1">
      <alignment horizontal="left" vertical="center" indent="1"/>
      <protection hidden="1"/>
    </xf>
    <xf numFmtId="49" fontId="19" fillId="3" borderId="28" xfId="0" applyNumberFormat="1" applyFont="1" applyFill="1" applyBorder="1" applyAlignment="1" applyProtection="1">
      <alignment horizontal="left" vertical="center" indent="1"/>
      <protection hidden="1"/>
    </xf>
    <xf numFmtId="49" fontId="19" fillId="3" borderId="31" xfId="0" applyNumberFormat="1" applyFont="1" applyFill="1" applyBorder="1" applyAlignment="1" applyProtection="1">
      <alignment horizontal="left" vertical="center" indent="1"/>
      <protection hidden="1"/>
    </xf>
    <xf numFmtId="49" fontId="19" fillId="3" borderId="32" xfId="0" applyNumberFormat="1" applyFont="1" applyFill="1" applyBorder="1" applyAlignment="1" applyProtection="1">
      <alignment horizontal="left" vertical="center" indent="1"/>
      <protection hidden="1"/>
    </xf>
    <xf numFmtId="0" fontId="6" fillId="5" borderId="26" xfId="0" applyFont="1" applyFill="1" applyBorder="1" applyAlignment="1" applyProtection="1">
      <alignment horizontal="left" vertical="center" indent="1"/>
      <protection hidden="1"/>
    </xf>
    <xf numFmtId="0" fontId="6" fillId="5" borderId="31" xfId="0" applyFont="1" applyFill="1" applyBorder="1" applyAlignment="1" applyProtection="1">
      <alignment horizontal="left" vertical="center" indent="1"/>
      <protection hidden="1"/>
    </xf>
    <xf numFmtId="0" fontId="6" fillId="5" borderId="32" xfId="0" applyFont="1" applyFill="1" applyBorder="1" applyAlignment="1" applyProtection="1">
      <alignment horizontal="left" vertical="center" indent="1"/>
      <protection hidden="1"/>
    </xf>
    <xf numFmtId="0" fontId="6" fillId="5" borderId="33" xfId="0" applyFont="1" applyFill="1" applyBorder="1" applyAlignment="1" applyProtection="1">
      <alignment horizontal="left" vertical="center" indent="1"/>
      <protection hidden="1"/>
    </xf>
    <xf numFmtId="0" fontId="6" fillId="5" borderId="34" xfId="0" applyFont="1" applyFill="1" applyBorder="1" applyAlignment="1" applyProtection="1">
      <alignment horizontal="left" vertical="center" indent="1"/>
      <protection hidden="1"/>
    </xf>
    <xf numFmtId="0" fontId="6" fillId="5" borderId="35" xfId="0" applyFont="1" applyFill="1" applyBorder="1" applyAlignment="1" applyProtection="1">
      <alignment horizontal="left" vertical="center" indent="1"/>
      <protection hidden="1"/>
    </xf>
    <xf numFmtId="0" fontId="30" fillId="3" borderId="0" xfId="0" applyFont="1" applyFill="1" applyAlignment="1" applyProtection="1">
      <alignment horizontal="center" wrapText="1"/>
      <protection hidden="1"/>
    </xf>
    <xf numFmtId="0" fontId="30" fillId="3" borderId="36" xfId="0" applyFont="1" applyFill="1" applyBorder="1" applyAlignment="1" applyProtection="1">
      <alignment horizontal="center" wrapText="1"/>
      <protection hidden="1"/>
    </xf>
    <xf numFmtId="0" fontId="35" fillId="3" borderId="0" xfId="0" applyFont="1" applyFill="1" applyAlignment="1" applyProtection="1">
      <alignment horizontal="center" wrapText="1"/>
      <protection hidden="1"/>
    </xf>
    <xf numFmtId="49" fontId="6" fillId="5" borderId="8" xfId="0" quotePrefix="1" applyNumberFormat="1" applyFont="1" applyFill="1" applyBorder="1" applyAlignment="1" applyProtection="1">
      <alignment horizontal="left" vertical="center" indent="1"/>
      <protection hidden="1"/>
    </xf>
    <xf numFmtId="49" fontId="6" fillId="5" borderId="37" xfId="0" quotePrefix="1" applyNumberFormat="1" applyFont="1" applyFill="1" applyBorder="1" applyAlignment="1" applyProtection="1">
      <alignment horizontal="left" vertical="center" indent="1"/>
      <protection hidden="1"/>
    </xf>
    <xf numFmtId="0" fontId="10" fillId="4" borderId="13" xfId="0" applyFont="1" applyFill="1" applyBorder="1" applyAlignment="1" applyProtection="1">
      <alignment horizontal="left" vertical="center" indent="1"/>
      <protection hidden="1"/>
    </xf>
    <xf numFmtId="0" fontId="10" fillId="4" borderId="37" xfId="0" applyFont="1" applyFill="1" applyBorder="1" applyAlignment="1" applyProtection="1">
      <alignment horizontal="left" vertical="center" indent="1"/>
      <protection hidden="1"/>
    </xf>
    <xf numFmtId="165" fontId="4" fillId="3" borderId="0" xfId="0" applyNumberFormat="1" applyFont="1" applyFill="1" applyProtection="1">
      <protection hidden="1"/>
    </xf>
    <xf numFmtId="3" fontId="4" fillId="3" borderId="0" xfId="0" applyNumberFormat="1" applyFont="1" applyFill="1" applyProtection="1">
      <protection hidden="1"/>
    </xf>
    <xf numFmtId="3" fontId="4" fillId="3" borderId="36" xfId="0" applyNumberFormat="1" applyFont="1" applyFill="1" applyBorder="1" applyProtection="1">
      <protection hidden="1"/>
    </xf>
    <xf numFmtId="49" fontId="6" fillId="5" borderId="0" xfId="0" quotePrefix="1" applyNumberFormat="1" applyFont="1" applyFill="1" applyAlignment="1" applyProtection="1">
      <alignment horizontal="left" vertical="center" indent="1"/>
      <protection locked="0"/>
    </xf>
    <xf numFmtId="165" fontId="4" fillId="3" borderId="5" xfId="0" applyNumberFormat="1" applyFont="1" applyFill="1" applyBorder="1" applyProtection="1">
      <protection hidden="1"/>
    </xf>
    <xf numFmtId="0" fontId="35" fillId="3" borderId="6" xfId="0" applyFont="1" applyFill="1" applyBorder="1" applyAlignment="1" applyProtection="1">
      <alignment horizontal="center" wrapText="1"/>
      <protection hidden="1"/>
    </xf>
    <xf numFmtId="3" fontId="4" fillId="3" borderId="38" xfId="0" applyNumberFormat="1" applyFont="1" applyFill="1" applyBorder="1" applyProtection="1">
      <protection hidden="1"/>
    </xf>
    <xf numFmtId="3" fontId="4" fillId="3" borderId="39" xfId="0" applyNumberFormat="1" applyFont="1" applyFill="1" applyBorder="1" applyProtection="1">
      <protection hidden="1"/>
    </xf>
    <xf numFmtId="165" fontId="4" fillId="3" borderId="40" xfId="0" applyNumberFormat="1" applyFont="1" applyFill="1" applyBorder="1" applyProtection="1">
      <protection hidden="1"/>
    </xf>
    <xf numFmtId="0" fontId="0" fillId="6" borderId="0" xfId="0" applyFill="1" applyProtection="1">
      <protection hidden="1"/>
    </xf>
    <xf numFmtId="0" fontId="37" fillId="6" borderId="0" xfId="0" applyFont="1" applyFill="1" applyProtection="1">
      <protection hidden="1"/>
    </xf>
    <xf numFmtId="49" fontId="11" fillId="3" borderId="0" xfId="5" applyNumberFormat="1" applyFont="1" applyFill="1" applyAlignment="1" applyProtection="1">
      <alignment vertical="center"/>
      <protection hidden="1"/>
    </xf>
    <xf numFmtId="0" fontId="0" fillId="7" borderId="0" xfId="0" applyFill="1" applyProtection="1">
      <protection hidden="1"/>
    </xf>
    <xf numFmtId="49" fontId="11" fillId="7" borderId="0" xfId="5" applyNumberFormat="1" applyFont="1" applyFill="1" applyAlignment="1" applyProtection="1">
      <alignment vertical="center"/>
      <protection hidden="1"/>
    </xf>
    <xf numFmtId="0" fontId="14" fillId="6" borderId="0" xfId="0" applyFont="1" applyFill="1" applyAlignment="1" applyProtection="1">
      <alignment horizontal="left" vertical="center" indent="1"/>
      <protection hidden="1"/>
    </xf>
    <xf numFmtId="0" fontId="14" fillId="7" borderId="0" xfId="0" applyFont="1" applyFill="1" applyAlignment="1" applyProtection="1">
      <alignment horizontal="left" vertical="center" indent="1"/>
      <protection hidden="1"/>
    </xf>
    <xf numFmtId="0" fontId="4" fillId="7" borderId="0" xfId="5" applyFont="1" applyFill="1" applyProtection="1">
      <protection hidden="1"/>
    </xf>
    <xf numFmtId="49" fontId="6" fillId="6" borderId="0" xfId="5" applyNumberFormat="1" applyFont="1" applyFill="1" applyAlignment="1" applyProtection="1">
      <alignment horizontal="center"/>
      <protection hidden="1"/>
    </xf>
    <xf numFmtId="0" fontId="4" fillId="6" borderId="0" xfId="5" applyFont="1" applyFill="1" applyAlignment="1" applyProtection="1">
      <alignment horizontal="center"/>
      <protection hidden="1"/>
    </xf>
    <xf numFmtId="0" fontId="4" fillId="7" borderId="0" xfId="5" applyFont="1" applyFill="1" applyAlignment="1" applyProtection="1">
      <alignment vertical="center"/>
      <protection hidden="1"/>
    </xf>
    <xf numFmtId="49" fontId="27" fillId="6" borderId="0" xfId="5" applyNumberFormat="1" applyFont="1" applyFill="1" applyAlignment="1" applyProtection="1">
      <alignment vertical="center"/>
      <protection hidden="1"/>
    </xf>
    <xf numFmtId="0" fontId="4" fillId="6" borderId="0" xfId="5" applyFont="1" applyFill="1" applyAlignment="1" applyProtection="1">
      <alignment horizontal="center" vertical="center"/>
      <protection hidden="1"/>
    </xf>
    <xf numFmtId="0" fontId="4" fillId="6" borderId="0" xfId="5" applyFont="1" applyFill="1" applyAlignment="1" applyProtection="1">
      <alignment vertical="center"/>
      <protection hidden="1"/>
    </xf>
    <xf numFmtId="49" fontId="38" fillId="6" borderId="0" xfId="5" applyNumberFormat="1" applyFont="1" applyFill="1" applyAlignment="1" applyProtection="1">
      <alignment vertical="center" wrapText="1"/>
      <protection hidden="1"/>
    </xf>
    <xf numFmtId="0" fontId="4" fillId="0" borderId="0" xfId="5" applyFont="1" applyAlignment="1" applyProtection="1">
      <alignment vertical="center"/>
      <protection hidden="1"/>
    </xf>
    <xf numFmtId="0" fontId="4" fillId="6" borderId="0" xfId="0" applyFont="1" applyFill="1" applyAlignment="1" applyProtection="1">
      <alignment vertical="center"/>
      <protection hidden="1"/>
    </xf>
    <xf numFmtId="0" fontId="4" fillId="6" borderId="0" xfId="5" applyFont="1" applyFill="1" applyProtection="1">
      <protection hidden="1"/>
    </xf>
    <xf numFmtId="0" fontId="2" fillId="6" borderId="0" xfId="5" applyFont="1" applyFill="1" applyAlignment="1" applyProtection="1">
      <alignment horizontal="left" vertical="top" wrapText="1" indent="1"/>
      <protection hidden="1"/>
    </xf>
    <xf numFmtId="0" fontId="1" fillId="7" borderId="0" xfId="5" applyFill="1" applyProtection="1">
      <protection hidden="1"/>
    </xf>
    <xf numFmtId="0" fontId="1" fillId="7" borderId="0" xfId="5" applyFill="1" applyAlignment="1" applyProtection="1">
      <alignment horizontal="center" vertical="center"/>
      <protection hidden="1"/>
    </xf>
    <xf numFmtId="0" fontId="11" fillId="7" borderId="0" xfId="5" applyFont="1" applyFill="1" applyAlignment="1" applyProtection="1">
      <alignment horizontal="center"/>
      <protection hidden="1"/>
    </xf>
    <xf numFmtId="0" fontId="11" fillId="6" borderId="0" xfId="5" applyFont="1" applyFill="1" applyAlignment="1" applyProtection="1">
      <alignment horizontal="center"/>
      <protection hidden="1"/>
    </xf>
    <xf numFmtId="49" fontId="20" fillId="7" borderId="0" xfId="3" applyNumberFormat="1" applyFont="1" applyFill="1" applyAlignment="1" applyProtection="1">
      <alignment horizontal="center" vertical="center"/>
      <protection hidden="1"/>
    </xf>
    <xf numFmtId="0" fontId="4" fillId="7" borderId="0" xfId="0" applyFont="1" applyFill="1" applyProtection="1">
      <protection hidden="1"/>
    </xf>
    <xf numFmtId="0" fontId="4" fillId="6" borderId="0" xfId="0" applyFont="1" applyFill="1" applyProtection="1">
      <protection hidden="1"/>
    </xf>
    <xf numFmtId="0" fontId="3" fillId="7" borderId="0" xfId="0" applyFont="1" applyFill="1" applyProtection="1">
      <protection hidden="1"/>
    </xf>
    <xf numFmtId="0" fontId="3" fillId="6" borderId="0" xfId="0" applyFont="1" applyFill="1" applyProtection="1">
      <protection hidden="1"/>
    </xf>
    <xf numFmtId="0" fontId="15" fillId="6" borderId="0" xfId="0" applyFont="1" applyFill="1" applyProtection="1">
      <protection hidden="1"/>
    </xf>
    <xf numFmtId="0" fontId="15" fillId="6" borderId="0" xfId="0" applyFont="1" applyFill="1" applyAlignment="1" applyProtection="1">
      <alignment horizontal="center"/>
      <protection hidden="1"/>
    </xf>
    <xf numFmtId="0" fontId="15" fillId="7" borderId="0" xfId="0" applyFont="1" applyFill="1" applyProtection="1">
      <protection hidden="1"/>
    </xf>
    <xf numFmtId="0" fontId="15" fillId="7" borderId="0" xfId="0" applyFont="1" applyFill="1" applyAlignment="1" applyProtection="1">
      <alignment horizontal="center"/>
      <protection hidden="1"/>
    </xf>
    <xf numFmtId="0" fontId="0" fillId="7" borderId="0" xfId="0" applyFill="1"/>
    <xf numFmtId="166" fontId="3" fillId="3" borderId="0" xfId="0" applyNumberFormat="1" applyFont="1" applyFill="1" applyAlignment="1" applyProtection="1">
      <alignment horizontal="right" vertical="center"/>
      <protection hidden="1"/>
    </xf>
    <xf numFmtId="166" fontId="6" fillId="3" borderId="0" xfId="0" applyNumberFormat="1" applyFont="1" applyFill="1" applyAlignment="1" applyProtection="1">
      <alignment horizontal="right" vertical="center"/>
      <protection hidden="1"/>
    </xf>
    <xf numFmtId="4" fontId="0" fillId="7" borderId="0" xfId="0" applyNumberFormat="1" applyFill="1" applyProtection="1">
      <protection hidden="1"/>
    </xf>
    <xf numFmtId="0" fontId="6" fillId="3" borderId="0" xfId="0" applyFont="1" applyFill="1" applyAlignment="1" applyProtection="1">
      <alignment horizontal="left" vertical="center"/>
      <protection hidden="1"/>
    </xf>
    <xf numFmtId="0" fontId="13" fillId="6" borderId="0" xfId="0" applyFont="1" applyFill="1" applyProtection="1">
      <protection hidden="1"/>
    </xf>
    <xf numFmtId="3" fontId="6" fillId="6" borderId="0" xfId="0" applyNumberFormat="1" applyFont="1" applyFill="1" applyProtection="1">
      <protection hidden="1"/>
    </xf>
    <xf numFmtId="0" fontId="6" fillId="6" borderId="0" xfId="0" applyFont="1" applyFill="1" applyProtection="1">
      <protection hidden="1"/>
    </xf>
    <xf numFmtId="3" fontId="16" fillId="6" borderId="0" xfId="0" applyNumberFormat="1" applyFont="1" applyFill="1" applyProtection="1">
      <protection hidden="1"/>
    </xf>
    <xf numFmtId="3" fontId="15" fillId="6" borderId="5" xfId="0" applyNumberFormat="1" applyFont="1" applyFill="1" applyBorder="1" applyProtection="1">
      <protection hidden="1"/>
    </xf>
    <xf numFmtId="49" fontId="19" fillId="6" borderId="8" xfId="0" applyNumberFormat="1" applyFont="1" applyFill="1" applyBorder="1" applyAlignment="1" applyProtection="1">
      <alignment horizontal="left" vertical="center" indent="1"/>
      <protection hidden="1"/>
    </xf>
    <xf numFmtId="49" fontId="6" fillId="6" borderId="0" xfId="0" quotePrefix="1" applyNumberFormat="1" applyFont="1" applyFill="1" applyAlignment="1" applyProtection="1">
      <alignment horizontal="left" vertical="center" indent="1"/>
      <protection locked="0"/>
    </xf>
    <xf numFmtId="49" fontId="6" fillId="6" borderId="0" xfId="0" quotePrefix="1" applyNumberFormat="1" applyFont="1" applyFill="1" applyAlignment="1" applyProtection="1">
      <alignment horizontal="left" vertical="center" indent="1"/>
      <protection hidden="1"/>
    </xf>
    <xf numFmtId="49" fontId="6" fillId="6" borderId="7" xfId="0" quotePrefix="1" applyNumberFormat="1" applyFont="1" applyFill="1" applyBorder="1" applyAlignment="1" applyProtection="1">
      <alignment horizontal="left" vertical="center" indent="1"/>
      <protection locked="0"/>
    </xf>
    <xf numFmtId="0" fontId="0" fillId="6" borderId="25" xfId="0" applyFill="1" applyBorder="1" applyProtection="1">
      <protection hidden="1"/>
    </xf>
    <xf numFmtId="49" fontId="6" fillId="6" borderId="7" xfId="0" quotePrefix="1" applyNumberFormat="1" applyFont="1" applyFill="1" applyBorder="1" applyAlignment="1" applyProtection="1">
      <alignment horizontal="left" vertical="center" indent="1"/>
      <protection hidden="1"/>
    </xf>
    <xf numFmtId="0" fontId="0" fillId="6" borderId="29" xfId="0" applyFill="1" applyBorder="1" applyProtection="1">
      <protection hidden="1"/>
    </xf>
    <xf numFmtId="0" fontId="0" fillId="6" borderId="30" xfId="0" applyFill="1" applyBorder="1" applyProtection="1">
      <protection hidden="1"/>
    </xf>
    <xf numFmtId="0" fontId="6" fillId="3" borderId="0" xfId="0" applyFont="1" applyFill="1" applyAlignment="1" applyProtection="1">
      <alignment horizontal="left" vertical="center" indent="1"/>
      <protection hidden="1"/>
    </xf>
    <xf numFmtId="0" fontId="19" fillId="3" borderId="0" xfId="0" applyFont="1" applyFill="1" applyAlignment="1" applyProtection="1">
      <alignment horizontal="left" indent="1"/>
      <protection hidden="1"/>
    </xf>
    <xf numFmtId="4" fontId="19" fillId="3" borderId="0" xfId="0" applyNumberFormat="1" applyFont="1" applyFill="1" applyProtection="1">
      <protection hidden="1"/>
    </xf>
    <xf numFmtId="9" fontId="0" fillId="6" borderId="0" xfId="0" applyNumberFormat="1" applyFill="1" applyProtection="1">
      <protection hidden="1"/>
    </xf>
    <xf numFmtId="0" fontId="5" fillId="6" borderId="0" xfId="0" applyFont="1" applyFill="1" applyProtection="1">
      <protection hidden="1"/>
    </xf>
    <xf numFmtId="0" fontId="1" fillId="6" borderId="0" xfId="0" applyFont="1" applyFill="1" applyProtection="1">
      <protection hidden="1"/>
    </xf>
    <xf numFmtId="0" fontId="16" fillId="6" borderId="0" xfId="0" applyFont="1" applyFill="1" applyProtection="1">
      <protection hidden="1"/>
    </xf>
    <xf numFmtId="0" fontId="36" fillId="6" borderId="0" xfId="0" applyFont="1" applyFill="1" applyProtection="1">
      <protection hidden="1"/>
    </xf>
    <xf numFmtId="0" fontId="7" fillId="6" borderId="0" xfId="3" applyFill="1" applyAlignment="1" applyProtection="1">
      <protection hidden="1"/>
    </xf>
    <xf numFmtId="3" fontId="4" fillId="3" borderId="59" xfId="0" applyNumberFormat="1" applyFont="1" applyFill="1" applyBorder="1" applyProtection="1">
      <protection hidden="1"/>
    </xf>
    <xf numFmtId="3" fontId="4" fillId="3" borderId="60" xfId="0" applyNumberFormat="1" applyFont="1" applyFill="1" applyBorder="1" applyProtection="1">
      <protection hidden="1"/>
    </xf>
    <xf numFmtId="3" fontId="4" fillId="3" borderId="61" xfId="0" applyNumberFormat="1" applyFont="1" applyFill="1" applyBorder="1" applyProtection="1">
      <protection hidden="1"/>
    </xf>
    <xf numFmtId="0" fontId="10" fillId="4" borderId="14" xfId="0" applyFont="1" applyFill="1" applyBorder="1" applyAlignment="1" applyProtection="1">
      <alignment vertical="center"/>
      <protection hidden="1"/>
    </xf>
    <xf numFmtId="9" fontId="10" fillId="4" borderId="62" xfId="0" applyNumberFormat="1" applyFont="1" applyFill="1" applyBorder="1" applyProtection="1">
      <protection hidden="1"/>
    </xf>
    <xf numFmtId="0" fontId="10" fillId="4" borderId="63" xfId="0" applyFont="1" applyFill="1" applyBorder="1" applyAlignment="1" applyProtection="1">
      <alignment vertical="center"/>
      <protection hidden="1"/>
    </xf>
    <xf numFmtId="9" fontId="10" fillId="4" borderId="18" xfId="0" applyNumberFormat="1" applyFont="1" applyFill="1" applyBorder="1" applyProtection="1">
      <protection hidden="1"/>
    </xf>
    <xf numFmtId="0" fontId="10" fillId="4" borderId="64" xfId="0" applyFont="1" applyFill="1" applyBorder="1" applyAlignment="1" applyProtection="1">
      <alignment vertical="center"/>
      <protection hidden="1"/>
    </xf>
    <xf numFmtId="9" fontId="10" fillId="4" borderId="21" xfId="0" applyNumberFormat="1" applyFont="1" applyFill="1" applyBorder="1" applyProtection="1">
      <protection hidden="1"/>
    </xf>
    <xf numFmtId="0" fontId="6" fillId="6" borderId="1" xfId="0" applyFont="1" applyFill="1" applyBorder="1" applyProtection="1">
      <protection hidden="1"/>
    </xf>
    <xf numFmtId="0" fontId="5" fillId="6" borderId="45" xfId="0" applyFont="1" applyFill="1" applyBorder="1" applyProtection="1">
      <protection hidden="1"/>
    </xf>
    <xf numFmtId="0" fontId="5" fillId="6" borderId="65" xfId="0" applyFont="1" applyFill="1" applyBorder="1" applyProtection="1">
      <protection hidden="1"/>
    </xf>
    <xf numFmtId="3" fontId="4" fillId="6" borderId="5" xfId="0" applyNumberFormat="1" applyFont="1" applyFill="1" applyBorder="1" applyProtection="1">
      <protection hidden="1"/>
    </xf>
    <xf numFmtId="0" fontId="28" fillId="6" borderId="0" xfId="3" applyFont="1" applyFill="1" applyBorder="1" applyAlignment="1" applyProtection="1">
      <alignment horizontal="left" vertical="center" indent="1"/>
      <protection hidden="1"/>
    </xf>
    <xf numFmtId="49" fontId="28" fillId="6" borderId="0" xfId="3" applyNumberFormat="1" applyFont="1" applyFill="1" applyAlignment="1" applyProtection="1">
      <alignment horizontal="left" vertical="center" indent="1"/>
      <protection hidden="1"/>
    </xf>
    <xf numFmtId="49" fontId="6" fillId="6" borderId="0" xfId="5" applyNumberFormat="1" applyFont="1" applyFill="1" applyAlignment="1" applyProtection="1">
      <alignment horizontal="left" indent="1"/>
      <protection hidden="1"/>
    </xf>
    <xf numFmtId="0" fontId="26" fillId="6" borderId="0" xfId="5" applyFont="1" applyFill="1" applyAlignment="1" applyProtection="1">
      <alignment horizontal="center"/>
      <protection hidden="1"/>
    </xf>
    <xf numFmtId="0" fontId="23" fillId="7" borderId="0" xfId="5" applyFont="1" applyFill="1" applyAlignment="1" applyProtection="1">
      <alignment horizontal="right"/>
      <protection hidden="1"/>
    </xf>
    <xf numFmtId="0" fontId="22" fillId="7" borderId="0" xfId="6" applyFill="1" applyProtection="1">
      <protection hidden="1"/>
    </xf>
    <xf numFmtId="49" fontId="18" fillId="3" borderId="0" xfId="5" applyNumberFormat="1" applyFont="1" applyFill="1" applyAlignment="1" applyProtection="1">
      <alignment horizontal="center" vertical="center" wrapText="1"/>
      <protection hidden="1"/>
    </xf>
    <xf numFmtId="49" fontId="18" fillId="3" borderId="0" xfId="6" applyNumberFormat="1" applyFont="1" applyFill="1" applyAlignment="1" applyProtection="1">
      <alignment horizontal="center" vertical="center" wrapText="1"/>
      <protection hidden="1"/>
    </xf>
    <xf numFmtId="0" fontId="11" fillId="3" borderId="0" xfId="5" applyFont="1" applyFill="1" applyAlignment="1" applyProtection="1">
      <alignment horizontal="center" vertical="center" wrapText="1"/>
      <protection hidden="1"/>
    </xf>
    <xf numFmtId="0" fontId="11" fillId="3" borderId="0" xfId="6" applyFont="1" applyFill="1" applyAlignment="1" applyProtection="1">
      <alignment horizontal="center" vertical="center" wrapText="1"/>
      <protection hidden="1"/>
    </xf>
    <xf numFmtId="0" fontId="4" fillId="7" borderId="0" xfId="5" applyFont="1" applyFill="1" applyAlignment="1" applyProtection="1">
      <alignment horizontal="center"/>
      <protection hidden="1"/>
    </xf>
    <xf numFmtId="0" fontId="4" fillId="6" borderId="0" xfId="5" applyFont="1" applyFill="1" applyAlignment="1" applyProtection="1">
      <alignment horizontal="center"/>
      <protection hidden="1"/>
    </xf>
    <xf numFmtId="0" fontId="0" fillId="7" borderId="0" xfId="0" applyFill="1" applyAlignment="1" applyProtection="1">
      <alignment horizontal="center"/>
      <protection hidden="1"/>
    </xf>
    <xf numFmtId="0" fontId="0" fillId="6" borderId="0" xfId="0" applyFill="1" applyAlignment="1" applyProtection="1">
      <alignment horizontal="center"/>
      <protection hidden="1"/>
    </xf>
    <xf numFmtId="0" fontId="6" fillId="3" borderId="46" xfId="0" applyFont="1" applyFill="1" applyBorder="1" applyAlignment="1" applyProtection="1">
      <alignment horizontal="center" vertical="center"/>
      <protection hidden="1"/>
    </xf>
    <xf numFmtId="0" fontId="6" fillId="3" borderId="47" xfId="0" applyFont="1" applyFill="1" applyBorder="1" applyAlignment="1" applyProtection="1">
      <alignment horizontal="center" vertical="center"/>
      <protection hidden="1"/>
    </xf>
    <xf numFmtId="0" fontId="6" fillId="3" borderId="48" xfId="0" applyFont="1" applyFill="1" applyBorder="1" applyAlignment="1" applyProtection="1">
      <alignment horizontal="center" vertical="center"/>
      <protection hidden="1"/>
    </xf>
    <xf numFmtId="49" fontId="10" fillId="4" borderId="43" xfId="0" applyNumberFormat="1" applyFont="1" applyFill="1" applyBorder="1" applyAlignment="1" applyProtection="1">
      <alignment horizontal="center" vertical="center"/>
      <protection locked="0"/>
    </xf>
    <xf numFmtId="49" fontId="10" fillId="4" borderId="42" xfId="0" applyNumberFormat="1" applyFont="1" applyFill="1" applyBorder="1" applyAlignment="1" applyProtection="1">
      <alignment horizontal="center" vertical="center"/>
      <protection locked="0"/>
    </xf>
    <xf numFmtId="49" fontId="10" fillId="4" borderId="41" xfId="0" applyNumberFormat="1" applyFont="1" applyFill="1" applyBorder="1" applyAlignment="1" applyProtection="1">
      <alignment horizontal="center" vertical="center"/>
      <protection locked="0"/>
    </xf>
    <xf numFmtId="0" fontId="0" fillId="6" borderId="44" xfId="0" applyFill="1" applyBorder="1" applyAlignment="1" applyProtection="1">
      <alignment horizontal="center"/>
      <protection hidden="1"/>
    </xf>
    <xf numFmtId="14" fontId="10" fillId="4" borderId="43" xfId="4" applyNumberFormat="1" applyFont="1" applyFill="1" applyBorder="1" applyAlignment="1" applyProtection="1">
      <alignment horizontal="center" vertical="center"/>
      <protection locked="0"/>
    </xf>
    <xf numFmtId="14" fontId="10" fillId="4" borderId="42" xfId="4" applyNumberFormat="1" applyFont="1" applyFill="1" applyBorder="1" applyAlignment="1" applyProtection="1">
      <alignment horizontal="center" vertical="center"/>
      <protection locked="0"/>
    </xf>
    <xf numFmtId="14" fontId="10" fillId="4" borderId="41" xfId="4" applyNumberFormat="1" applyFont="1" applyFill="1" applyBorder="1" applyAlignment="1" applyProtection="1">
      <alignment horizontal="center" vertical="center"/>
      <protection locked="0"/>
    </xf>
    <xf numFmtId="0" fontId="40" fillId="7" borderId="0" xfId="3" applyFont="1" applyFill="1" applyAlignment="1" applyProtection="1">
      <alignment horizontal="center" vertical="center"/>
    </xf>
    <xf numFmtId="0" fontId="18" fillId="3" borderId="0" xfId="0" applyFont="1" applyFill="1" applyAlignment="1" applyProtection="1">
      <alignment horizontal="center" vertical="center"/>
      <protection hidden="1"/>
    </xf>
    <xf numFmtId="0" fontId="11" fillId="3" borderId="0" xfId="0" applyFont="1" applyFill="1" applyAlignment="1" applyProtection="1">
      <alignment horizontal="center" vertical="center"/>
      <protection hidden="1"/>
    </xf>
    <xf numFmtId="0" fontId="0" fillId="6" borderId="49" xfId="0" applyFill="1" applyBorder="1" applyAlignment="1" applyProtection="1">
      <alignment horizontal="center"/>
      <protection hidden="1"/>
    </xf>
    <xf numFmtId="0" fontId="15" fillId="6" borderId="45" xfId="0" applyFont="1" applyFill="1" applyBorder="1" applyAlignment="1" applyProtection="1">
      <alignment horizontal="center"/>
      <protection hidden="1"/>
    </xf>
    <xf numFmtId="0" fontId="3" fillId="6" borderId="0" xfId="0" applyFont="1" applyFill="1" applyAlignment="1" applyProtection="1">
      <alignment horizontal="center"/>
      <protection hidden="1"/>
    </xf>
    <xf numFmtId="0" fontId="31" fillId="3" borderId="40" xfId="0" applyFont="1" applyFill="1" applyBorder="1" applyAlignment="1" applyProtection="1">
      <alignment horizontal="left" vertical="center" indent="1"/>
      <protection hidden="1"/>
    </xf>
    <xf numFmtId="0" fontId="33" fillId="0" borderId="38" xfId="0" applyFont="1" applyBorder="1" applyAlignment="1" applyProtection="1">
      <alignment horizontal="left" vertical="center" indent="1"/>
      <protection hidden="1"/>
    </xf>
    <xf numFmtId="0" fontId="34" fillId="3" borderId="23" xfId="0" applyFont="1" applyFill="1" applyBorder="1" applyAlignment="1" applyProtection="1">
      <alignment horizontal="left" vertical="center" wrapText="1" indent="1"/>
      <protection hidden="1"/>
    </xf>
    <xf numFmtId="0" fontId="33" fillId="0" borderId="2" xfId="0" applyFont="1" applyBorder="1" applyAlignment="1" applyProtection="1">
      <alignment horizontal="left" vertical="center" indent="1"/>
      <protection hidden="1"/>
    </xf>
    <xf numFmtId="0" fontId="3" fillId="3" borderId="55" xfId="0" applyFont="1" applyFill="1" applyBorder="1" applyAlignment="1" applyProtection="1">
      <alignment horizontal="left" vertical="top" indent="1"/>
      <protection hidden="1"/>
    </xf>
    <xf numFmtId="0" fontId="3" fillId="3" borderId="11" xfId="0" applyFont="1" applyFill="1" applyBorder="1" applyAlignment="1" applyProtection="1">
      <alignment horizontal="left" vertical="top" indent="1"/>
      <protection hidden="1"/>
    </xf>
    <xf numFmtId="0" fontId="3" fillId="3" borderId="56" xfId="0" applyFont="1" applyFill="1" applyBorder="1" applyAlignment="1" applyProtection="1">
      <alignment horizontal="left" vertical="top" indent="1"/>
      <protection hidden="1"/>
    </xf>
    <xf numFmtId="0" fontId="32" fillId="3" borderId="12" xfId="0" applyFont="1" applyFill="1" applyBorder="1" applyAlignment="1" applyProtection="1">
      <alignment horizontal="left" vertical="center" wrapText="1" indent="1"/>
      <protection hidden="1"/>
    </xf>
    <xf numFmtId="0" fontId="33" fillId="0" borderId="50" xfId="0" applyFont="1" applyBorder="1" applyAlignment="1" applyProtection="1">
      <alignment horizontal="left" vertical="center" wrapText="1" indent="1"/>
      <protection hidden="1"/>
    </xf>
    <xf numFmtId="3" fontId="31" fillId="3" borderId="7" xfId="0" applyNumberFormat="1" applyFont="1" applyFill="1" applyBorder="1" applyAlignment="1" applyProtection="1">
      <alignment horizontal="right" vertical="center"/>
      <protection hidden="1"/>
    </xf>
    <xf numFmtId="0" fontId="33" fillId="0" borderId="7" xfId="0" applyFont="1" applyBorder="1" applyAlignment="1" applyProtection="1">
      <alignment horizontal="right" vertical="center"/>
      <protection hidden="1"/>
    </xf>
    <xf numFmtId="0" fontId="12" fillId="4" borderId="2" xfId="0" applyFont="1" applyFill="1" applyBorder="1" applyAlignment="1" applyProtection="1">
      <alignment horizontal="left" vertical="top" wrapText="1" indent="1"/>
      <protection locked="0"/>
    </xf>
    <xf numFmtId="0" fontId="0" fillId="0" borderId="3" xfId="0" applyBorder="1" applyAlignment="1" applyProtection="1">
      <alignment horizontal="left" vertical="top" wrapText="1" indent="1"/>
      <protection locked="0"/>
    </xf>
    <xf numFmtId="0" fontId="32" fillId="3" borderId="12" xfId="0" applyFont="1" applyFill="1" applyBorder="1" applyAlignment="1" applyProtection="1">
      <alignment horizontal="left" indent="1"/>
      <protection hidden="1"/>
    </xf>
    <xf numFmtId="0" fontId="33" fillId="0" borderId="50" xfId="0" applyFont="1" applyBorder="1" applyAlignment="1" applyProtection="1">
      <alignment horizontal="left" indent="1"/>
      <protection hidden="1"/>
    </xf>
    <xf numFmtId="0" fontId="33" fillId="0" borderId="8" xfId="0" applyFont="1" applyBorder="1" applyAlignment="1" applyProtection="1">
      <alignment horizontal="left" indent="1"/>
      <protection hidden="1"/>
    </xf>
    <xf numFmtId="3" fontId="4" fillId="3" borderId="2" xfId="0" applyNumberFormat="1" applyFont="1" applyFill="1" applyBorder="1" applyAlignment="1" applyProtection="1">
      <alignment horizontal="center"/>
      <protection hidden="1"/>
    </xf>
    <xf numFmtId="3" fontId="4" fillId="3" borderId="3" xfId="0" applyNumberFormat="1" applyFont="1" applyFill="1" applyBorder="1" applyAlignment="1" applyProtection="1">
      <alignment horizontal="center"/>
      <protection hidden="1"/>
    </xf>
    <xf numFmtId="0" fontId="32" fillId="3" borderId="12" xfId="0" applyFont="1" applyFill="1" applyBorder="1" applyAlignment="1" applyProtection="1">
      <alignment horizontal="left" vertical="center" indent="1"/>
      <protection hidden="1"/>
    </xf>
    <xf numFmtId="0" fontId="33" fillId="0" borderId="50" xfId="0" applyFont="1" applyBorder="1" applyAlignment="1" applyProtection="1">
      <alignment horizontal="left" vertical="center" indent="1"/>
      <protection hidden="1"/>
    </xf>
    <xf numFmtId="0" fontId="12" fillId="4" borderId="17" xfId="0" applyFont="1" applyFill="1" applyBorder="1" applyAlignment="1" applyProtection="1">
      <alignment horizontal="left" vertical="top" wrapText="1" indent="1"/>
      <protection locked="0"/>
    </xf>
    <xf numFmtId="0" fontId="0" fillId="0" borderId="51" xfId="0" applyBorder="1" applyAlignment="1" applyProtection="1">
      <alignment horizontal="left" vertical="top" wrapText="1" indent="1"/>
      <protection locked="0"/>
    </xf>
    <xf numFmtId="3" fontId="6" fillId="3" borderId="0" xfId="0" applyNumberFormat="1" applyFont="1" applyFill="1" applyAlignment="1" applyProtection="1">
      <alignment horizontal="right" vertical="center"/>
      <protection hidden="1"/>
    </xf>
    <xf numFmtId="0" fontId="0" fillId="0" borderId="0" xfId="0" applyAlignment="1" applyProtection="1">
      <alignment horizontal="right" vertical="center"/>
      <protection hidden="1"/>
    </xf>
    <xf numFmtId="0" fontId="5" fillId="3" borderId="23" xfId="0" applyFont="1" applyFill="1" applyBorder="1" applyAlignment="1" applyProtection="1">
      <alignment horizontal="left" vertical="center" wrapText="1" indent="1"/>
      <protection hidden="1"/>
    </xf>
    <xf numFmtId="0" fontId="0" fillId="0" borderId="2" xfId="0" applyBorder="1" applyAlignment="1" applyProtection="1">
      <alignment horizontal="left" vertical="center" indent="1"/>
      <protection hidden="1"/>
    </xf>
    <xf numFmtId="0" fontId="3" fillId="3" borderId="12" xfId="0" applyFont="1" applyFill="1" applyBorder="1" applyAlignment="1" applyProtection="1">
      <alignment horizontal="left" vertical="center" wrapText="1" indent="1"/>
      <protection hidden="1"/>
    </xf>
    <xf numFmtId="0" fontId="0" fillId="0" borderId="50" xfId="0" applyBorder="1" applyAlignment="1" applyProtection="1">
      <alignment horizontal="left" vertical="center" wrapText="1" indent="1"/>
      <protection hidden="1"/>
    </xf>
    <xf numFmtId="0" fontId="6" fillId="3" borderId="40" xfId="0" applyFont="1" applyFill="1" applyBorder="1" applyAlignment="1" applyProtection="1">
      <alignment horizontal="left" vertical="center" indent="1"/>
      <protection hidden="1"/>
    </xf>
    <xf numFmtId="0" fontId="0" fillId="0" borderId="38" xfId="0" applyBorder="1" applyAlignment="1" applyProtection="1">
      <alignment horizontal="left" vertical="center" indent="1"/>
      <protection hidden="1"/>
    </xf>
    <xf numFmtId="0" fontId="5" fillId="3" borderId="52" xfId="0" applyFont="1" applyFill="1" applyBorder="1" applyAlignment="1" applyProtection="1">
      <alignment horizontal="left" vertical="center" wrapText="1" indent="1"/>
      <protection hidden="1"/>
    </xf>
    <xf numFmtId="0" fontId="0" fillId="0" borderId="53" xfId="0" applyBorder="1" applyAlignment="1" applyProtection="1">
      <alignment horizontal="left" vertical="center" indent="1"/>
      <protection hidden="1"/>
    </xf>
    <xf numFmtId="0" fontId="3" fillId="3" borderId="54" xfId="0" applyFont="1" applyFill="1" applyBorder="1" applyAlignment="1" applyProtection="1">
      <alignment horizontal="left" vertical="center" indent="1"/>
      <protection hidden="1"/>
    </xf>
    <xf numFmtId="0" fontId="0" fillId="0" borderId="47" xfId="0" applyBorder="1" applyAlignment="1" applyProtection="1">
      <alignment horizontal="left" vertical="center" indent="1"/>
      <protection hidden="1"/>
    </xf>
    <xf numFmtId="0" fontId="32" fillId="3" borderId="50" xfId="0" applyFont="1" applyFill="1" applyBorder="1" applyAlignment="1" applyProtection="1">
      <alignment horizontal="left" vertical="center" indent="1"/>
      <protection hidden="1"/>
    </xf>
    <xf numFmtId="0" fontId="32" fillId="3" borderId="8" xfId="0" applyFont="1" applyFill="1" applyBorder="1" applyAlignment="1" applyProtection="1">
      <alignment horizontal="left" vertical="center" indent="1"/>
      <protection hidden="1"/>
    </xf>
    <xf numFmtId="0" fontId="3" fillId="3" borderId="47" xfId="0" applyFont="1" applyFill="1" applyBorder="1" applyAlignment="1" applyProtection="1">
      <alignment horizontal="left" vertical="center" indent="1"/>
      <protection hidden="1"/>
    </xf>
    <xf numFmtId="0" fontId="3" fillId="3" borderId="48" xfId="0" applyFont="1" applyFill="1" applyBorder="1" applyAlignment="1" applyProtection="1">
      <alignment horizontal="left" vertical="center" indent="1"/>
      <protection hidden="1"/>
    </xf>
    <xf numFmtId="0" fontId="3" fillId="3" borderId="13" xfId="0" applyFont="1" applyFill="1" applyBorder="1" applyAlignment="1" applyProtection="1">
      <alignment horizontal="left" indent="1"/>
      <protection hidden="1"/>
    </xf>
    <xf numFmtId="0" fontId="0" fillId="0" borderId="42" xfId="0" applyBorder="1" applyAlignment="1" applyProtection="1">
      <alignment horizontal="left" indent="1"/>
      <protection hidden="1"/>
    </xf>
    <xf numFmtId="0" fontId="0" fillId="0" borderId="37" xfId="0" applyBorder="1" applyAlignment="1" applyProtection="1">
      <alignment horizontal="left" indent="1"/>
      <protection hidden="1"/>
    </xf>
    <xf numFmtId="0" fontId="3" fillId="3" borderId="12" xfId="0" applyFont="1" applyFill="1" applyBorder="1" applyAlignment="1" applyProtection="1">
      <alignment horizontal="left" indent="1"/>
      <protection hidden="1"/>
    </xf>
    <xf numFmtId="0" fontId="0" fillId="0" borderId="50" xfId="0" applyBorder="1" applyAlignment="1" applyProtection="1">
      <alignment horizontal="left" indent="1"/>
      <protection hidden="1"/>
    </xf>
    <xf numFmtId="0" fontId="0" fillId="0" borderId="8" xfId="0" applyBorder="1" applyAlignment="1" applyProtection="1">
      <alignment horizontal="left" indent="1"/>
      <protection hidden="1"/>
    </xf>
    <xf numFmtId="49" fontId="20" fillId="7" borderId="0" xfId="3" applyNumberFormat="1" applyFont="1" applyFill="1" applyAlignment="1" applyProtection="1">
      <alignment horizontal="center" vertical="center"/>
      <protection hidden="1"/>
    </xf>
    <xf numFmtId="14" fontId="6" fillId="3" borderId="0" xfId="0" applyNumberFormat="1" applyFont="1" applyFill="1" applyAlignment="1" applyProtection="1">
      <alignment horizontal="left" vertical="center" indent="1"/>
      <protection hidden="1"/>
    </xf>
    <xf numFmtId="14" fontId="0" fillId="0" borderId="0" xfId="0" applyNumberFormat="1" applyAlignment="1" applyProtection="1">
      <alignment horizontal="left" vertical="center" indent="1"/>
      <protection hidden="1"/>
    </xf>
    <xf numFmtId="0" fontId="18" fillId="3" borderId="0" xfId="0" applyFont="1" applyFill="1" applyAlignment="1" applyProtection="1">
      <alignment horizontal="center"/>
      <protection hidden="1"/>
    </xf>
    <xf numFmtId="0" fontId="39" fillId="0" borderId="0" xfId="0" applyFont="1" applyAlignment="1" applyProtection="1">
      <alignment horizontal="center"/>
      <protection hidden="1"/>
    </xf>
    <xf numFmtId="0" fontId="0" fillId="0" borderId="0" xfId="0" applyAlignment="1" applyProtection="1">
      <alignment horizontal="center" vertical="center"/>
      <protection hidden="1"/>
    </xf>
    <xf numFmtId="0" fontId="6" fillId="6" borderId="0" xfId="0" applyFont="1" applyFill="1" applyAlignment="1" applyProtection="1">
      <alignment horizontal="left" vertical="center" indent="1"/>
      <protection hidden="1"/>
    </xf>
    <xf numFmtId="0" fontId="4" fillId="7" borderId="49" xfId="0" applyFont="1" applyFill="1" applyBorder="1" applyAlignment="1" applyProtection="1">
      <alignment horizontal="center"/>
      <protection hidden="1"/>
    </xf>
    <xf numFmtId="0" fontId="19" fillId="3" borderId="0" xfId="0" applyFont="1" applyFill="1" applyAlignment="1" applyProtection="1">
      <alignment horizontal="left" indent="1"/>
      <protection hidden="1"/>
    </xf>
    <xf numFmtId="0" fontId="6" fillId="3" borderId="0" xfId="0" applyFont="1" applyFill="1" applyAlignment="1" applyProtection="1">
      <alignment horizontal="left" vertical="center" indent="1"/>
      <protection hidden="1"/>
    </xf>
    <xf numFmtId="0" fontId="19" fillId="0" borderId="0" xfId="0" applyFont="1" applyAlignment="1" applyProtection="1">
      <alignment horizontal="left" indent="1"/>
      <protection hidden="1"/>
    </xf>
    <xf numFmtId="0" fontId="4" fillId="6" borderId="44" xfId="0" applyFont="1" applyFill="1" applyBorder="1" applyAlignment="1" applyProtection="1">
      <alignment horizontal="center"/>
      <protection hidden="1"/>
    </xf>
    <xf numFmtId="4" fontId="19" fillId="3" borderId="0" xfId="0" applyNumberFormat="1" applyFont="1" applyFill="1" applyAlignment="1" applyProtection="1">
      <alignment horizontal="left" indent="1"/>
      <protection hidden="1"/>
    </xf>
    <xf numFmtId="0" fontId="0" fillId="0" borderId="51" xfId="0" applyBorder="1" applyAlignment="1" applyProtection="1">
      <alignment horizontal="left" wrapText="1" indent="1"/>
      <protection locked="0"/>
    </xf>
    <xf numFmtId="0" fontId="15" fillId="7" borderId="0" xfId="0" applyFont="1" applyFill="1" applyAlignment="1" applyProtection="1">
      <alignment horizontal="center"/>
      <protection hidden="1"/>
    </xf>
    <xf numFmtId="0" fontId="6" fillId="6" borderId="0" xfId="0" applyFont="1" applyFill="1" applyAlignment="1" applyProtection="1">
      <alignment horizontal="center" vertical="center"/>
      <protection hidden="1"/>
    </xf>
    <xf numFmtId="0" fontId="0" fillId="0" borderId="0" xfId="0" applyAlignment="1" applyProtection="1">
      <alignment horizontal="left" vertical="center" indent="1"/>
      <protection hidden="1"/>
    </xf>
    <xf numFmtId="0" fontId="3" fillId="3" borderId="0" xfId="0" applyFont="1" applyFill="1" applyAlignment="1" applyProtection="1">
      <alignment horizontal="left" vertical="center" indent="1"/>
      <protection hidden="1"/>
    </xf>
    <xf numFmtId="0" fontId="17" fillId="6" borderId="0" xfId="0" applyFont="1" applyFill="1" applyAlignment="1" applyProtection="1">
      <alignment horizontal="left"/>
      <protection hidden="1"/>
    </xf>
    <xf numFmtId="0" fontId="0" fillId="6" borderId="0" xfId="0" applyFill="1" applyAlignment="1" applyProtection="1">
      <alignment horizontal="left"/>
      <protection hidden="1"/>
    </xf>
    <xf numFmtId="0" fontId="6" fillId="3" borderId="0" xfId="0" applyFont="1" applyFill="1" applyAlignment="1" applyProtection="1">
      <alignment horizontal="center" vertical="center"/>
      <protection hidden="1"/>
    </xf>
    <xf numFmtId="0" fontId="6" fillId="7" borderId="0" xfId="0" applyFont="1" applyFill="1" applyAlignment="1" applyProtection="1">
      <alignment horizontal="center" vertical="center"/>
      <protection hidden="1"/>
    </xf>
    <xf numFmtId="0" fontId="24" fillId="0" borderId="0" xfId="0" applyFont="1" applyAlignment="1" applyProtection="1">
      <alignment horizontal="center" vertical="center"/>
      <protection hidden="1"/>
    </xf>
    <xf numFmtId="0" fontId="40" fillId="7" borderId="0" xfId="3" applyFont="1" applyFill="1" applyAlignment="1" applyProtection="1">
      <alignment horizontal="center" vertical="center"/>
      <protection hidden="1"/>
    </xf>
    <xf numFmtId="0" fontId="6" fillId="5" borderId="0" xfId="0" quotePrefix="1" applyFont="1" applyFill="1" applyAlignment="1" applyProtection="1">
      <alignment horizontal="left" vertical="center" indent="1"/>
      <protection hidden="1"/>
    </xf>
    <xf numFmtId="0" fontId="11" fillId="3" borderId="0" xfId="5" applyFont="1" applyFill="1" applyAlignment="1" applyProtection="1">
      <alignment horizontal="center" vertical="center"/>
      <protection hidden="1"/>
    </xf>
    <xf numFmtId="49" fontId="11" fillId="7" borderId="0" xfId="5" applyNumberFormat="1" applyFont="1" applyFill="1" applyAlignment="1" applyProtection="1">
      <alignment horizontal="center" vertical="center"/>
      <protection hidden="1"/>
    </xf>
    <xf numFmtId="49" fontId="11" fillId="3" borderId="0" xfId="5" applyNumberFormat="1" applyFont="1" applyFill="1" applyAlignment="1" applyProtection="1">
      <alignment horizontal="center" vertical="center"/>
      <protection hidden="1"/>
    </xf>
    <xf numFmtId="49" fontId="19" fillId="3" borderId="46" xfId="0" applyNumberFormat="1" applyFont="1" applyFill="1" applyBorder="1" applyAlignment="1" applyProtection="1">
      <alignment horizontal="left" vertical="center" indent="1"/>
      <protection hidden="1"/>
    </xf>
    <xf numFmtId="49" fontId="19" fillId="3" borderId="47" xfId="0" applyNumberFormat="1" applyFont="1" applyFill="1" applyBorder="1" applyAlignment="1" applyProtection="1">
      <alignment horizontal="left" vertical="center" indent="1"/>
      <protection hidden="1"/>
    </xf>
    <xf numFmtId="49" fontId="19" fillId="3" borderId="48" xfId="0" applyNumberFormat="1" applyFont="1" applyFill="1" applyBorder="1" applyAlignment="1" applyProtection="1">
      <alignment horizontal="left" vertical="center" indent="1"/>
      <protection hidden="1"/>
    </xf>
    <xf numFmtId="0" fontId="10" fillId="4" borderId="43" xfId="10" applyFont="1" applyFill="1" applyBorder="1" applyAlignment="1" applyProtection="1">
      <alignment horizontal="left" vertical="center" indent="1"/>
      <protection locked="0"/>
    </xf>
    <xf numFmtId="0" fontId="10" fillId="4" borderId="42" xfId="10" applyFont="1" applyFill="1" applyBorder="1" applyAlignment="1" applyProtection="1">
      <alignment horizontal="left" vertical="center" indent="1"/>
      <protection locked="0"/>
    </xf>
    <xf numFmtId="0" fontId="10" fillId="4" borderId="41" xfId="10" applyFont="1" applyFill="1" applyBorder="1" applyAlignment="1" applyProtection="1">
      <alignment horizontal="left" vertical="center" indent="1"/>
      <protection locked="0"/>
    </xf>
    <xf numFmtId="0" fontId="6" fillId="5" borderId="57" xfId="0" applyFont="1" applyFill="1" applyBorder="1" applyAlignment="1" applyProtection="1">
      <alignment horizontal="left" vertical="center" indent="1"/>
      <protection hidden="1"/>
    </xf>
    <xf numFmtId="0" fontId="6" fillId="5" borderId="44" xfId="0" applyFont="1" applyFill="1" applyBorder="1" applyAlignment="1" applyProtection="1">
      <alignment horizontal="left" vertical="center" indent="1"/>
      <protection hidden="1"/>
    </xf>
    <xf numFmtId="0" fontId="6" fillId="5" borderId="58" xfId="0" applyFont="1" applyFill="1" applyBorder="1" applyAlignment="1" applyProtection="1">
      <alignment horizontal="left" vertical="center" indent="1"/>
      <protection hidden="1"/>
    </xf>
    <xf numFmtId="0" fontId="6" fillId="3" borderId="57" xfId="0" applyFont="1" applyFill="1" applyBorder="1" applyAlignment="1" applyProtection="1">
      <alignment horizontal="left" vertical="center" indent="1"/>
      <protection hidden="1"/>
    </xf>
    <xf numFmtId="0" fontId="6" fillId="3" borderId="44" xfId="0" applyFont="1" applyFill="1" applyBorder="1" applyAlignment="1" applyProtection="1">
      <alignment horizontal="left" vertical="center" indent="1"/>
      <protection hidden="1"/>
    </xf>
    <xf numFmtId="0" fontId="6" fillId="3" borderId="58" xfId="0" applyFont="1" applyFill="1" applyBorder="1" applyAlignment="1" applyProtection="1">
      <alignment horizontal="left" vertical="center" indent="1"/>
      <protection hidden="1"/>
    </xf>
    <xf numFmtId="0" fontId="10" fillId="4" borderId="57" xfId="0" applyFont="1" applyFill="1" applyBorder="1" applyAlignment="1" applyProtection="1">
      <alignment horizontal="left" vertical="center" indent="1"/>
      <protection hidden="1"/>
    </xf>
    <xf numFmtId="0" fontId="10" fillId="4" borderId="44" xfId="0" applyFont="1" applyFill="1" applyBorder="1" applyAlignment="1" applyProtection="1">
      <alignment horizontal="left" vertical="center" indent="1"/>
      <protection hidden="1"/>
    </xf>
    <xf numFmtId="0" fontId="10" fillId="4" borderId="58" xfId="0" applyFont="1" applyFill="1" applyBorder="1" applyAlignment="1" applyProtection="1">
      <alignment horizontal="left" vertical="center" indent="1"/>
      <protection hidden="1"/>
    </xf>
    <xf numFmtId="0" fontId="29" fillId="3" borderId="0" xfId="0" applyFont="1" applyFill="1" applyAlignment="1" applyProtection="1">
      <alignment horizontal="center"/>
      <protection hidden="1"/>
    </xf>
    <xf numFmtId="49" fontId="19" fillId="3" borderId="12" xfId="0" applyNumberFormat="1" applyFont="1" applyFill="1" applyBorder="1" applyAlignment="1" applyProtection="1">
      <alignment horizontal="left" vertical="center" indent="1"/>
      <protection hidden="1"/>
    </xf>
    <xf numFmtId="49" fontId="19" fillId="3" borderId="8" xfId="0" applyNumberFormat="1" applyFont="1" applyFill="1" applyBorder="1" applyAlignment="1" applyProtection="1">
      <alignment horizontal="left" vertical="center" indent="1"/>
      <protection hidden="1"/>
    </xf>
  </cellXfs>
  <cellStyles count="11">
    <cellStyle name="21" xfId="1" xr:uid="{00000000-0005-0000-0000-000000000000}"/>
    <cellStyle name="ggg" xfId="2" xr:uid="{00000000-0005-0000-0000-000001000000}"/>
    <cellStyle name="Hyperlink" xfId="3" builtinId="8"/>
    <cellStyle name="Normal" xfId="0" builtinId="0"/>
    <cellStyle name="Normal_10682 Intäktsbudget tvåårigP009V121_1" xfId="10" xr:uid="{00000000-0005-0000-0000-000004000000}"/>
    <cellStyle name="Normal_ALABAT K Pärmtitlar helrygg" xfId="4" xr:uid="{00000000-0005-0000-0000-000005000000}"/>
    <cellStyle name="Normal_Likviditetsbudget - tvåårig" xfId="5" xr:uid="{00000000-0005-0000-0000-000006000000}"/>
    <cellStyle name="Normal_slakto" xfId="6" xr:uid="{00000000-0005-0000-0000-000007000000}"/>
    <cellStyle name="Percent" xfId="7" builtinId="5"/>
    <cellStyle name="Tusental (0)_1996-1997" xfId="8" xr:uid="{00000000-0005-0000-0000-000009000000}"/>
    <cellStyle name="Valuta (0)_1996-1997" xfId="9" xr:uid="{00000000-0005-0000-0000-00000A000000}"/>
  </cellStyles>
  <dxfs count="11">
    <dxf>
      <border>
        <left style="hair">
          <color indexed="64"/>
        </left>
        <right style="thin">
          <color indexed="64"/>
        </right>
        <top style="hair">
          <color indexed="64"/>
        </top>
        <bottom style="hair">
          <color indexed="64"/>
        </bottom>
      </border>
    </dxf>
    <dxf>
      <border>
        <left style="hair">
          <color indexed="64"/>
        </left>
        <right style="hair">
          <color indexed="64"/>
        </right>
        <top style="hair">
          <color indexed="64"/>
        </top>
        <bottom style="hair">
          <color indexed="64"/>
        </bottom>
      </border>
    </dxf>
    <dxf>
      <border>
        <left style="hair">
          <color indexed="64"/>
        </left>
        <right style="hair">
          <color indexed="64"/>
        </right>
        <top style="hair">
          <color indexed="64"/>
        </top>
        <bottom style="hair">
          <color indexed="64"/>
        </bottom>
      </border>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border>
        <left style="hair">
          <color indexed="64"/>
        </left>
        <right style="thin">
          <color indexed="64"/>
        </right>
        <top style="hair">
          <color indexed="64"/>
        </top>
        <bottom style="hair">
          <color indexed="64"/>
        </bottom>
      </border>
    </dxf>
    <dxf>
      <border>
        <left style="hair">
          <color indexed="64"/>
        </left>
        <right style="hair">
          <color indexed="64"/>
        </right>
        <top style="hair">
          <color indexed="64"/>
        </top>
        <bottom style="hair">
          <color indexed="64"/>
        </bottom>
      </border>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EXTDAT!$C$24" lockText="1" noThreeD="1"/>
</file>

<file path=xl/ctrlProps/ctrlProp10.xml><?xml version="1.0" encoding="utf-8"?>
<formControlPr xmlns="http://schemas.microsoft.com/office/spreadsheetml/2009/9/main" objectType="CheckBox" checked="Checked" fmlaLink="EXTDAT!$E$24" lockText="1" noThreeD="1"/>
</file>

<file path=xl/ctrlProps/ctrlProp11.xml><?xml version="1.0" encoding="utf-8"?>
<formControlPr xmlns="http://schemas.microsoft.com/office/spreadsheetml/2009/9/main" objectType="CheckBox" fmlaLink="EXTDAT!$E$25" lockText="1" noThreeD="1"/>
</file>

<file path=xl/ctrlProps/ctrlProp12.xml><?xml version="1.0" encoding="utf-8"?>
<formControlPr xmlns="http://schemas.microsoft.com/office/spreadsheetml/2009/9/main" objectType="CheckBox" fmlaLink="EXTDAT!$E$26" lockText="1" noThreeD="1"/>
</file>

<file path=xl/ctrlProps/ctrlProp13.xml><?xml version="1.0" encoding="utf-8"?>
<formControlPr xmlns="http://schemas.microsoft.com/office/spreadsheetml/2009/9/main" objectType="CheckBox" fmlaLink="EXTDAT!$E$27" lockText="1" noThreeD="1"/>
</file>

<file path=xl/ctrlProps/ctrlProp14.xml><?xml version="1.0" encoding="utf-8"?>
<formControlPr xmlns="http://schemas.microsoft.com/office/spreadsheetml/2009/9/main" objectType="CheckBox" fmlaLink="EXTDAT!$E$28" lockText="1" noThreeD="1"/>
</file>

<file path=xl/ctrlProps/ctrlProp15.xml><?xml version="1.0" encoding="utf-8"?>
<formControlPr xmlns="http://schemas.microsoft.com/office/spreadsheetml/2009/9/main" objectType="CheckBox" checked="Checked" fmlaLink="EXTDAT!$C$31" lockText="1" noThreeD="1"/>
</file>

<file path=xl/ctrlProps/ctrlProp16.xml><?xml version="1.0" encoding="utf-8"?>
<formControlPr xmlns="http://schemas.microsoft.com/office/spreadsheetml/2009/9/main" objectType="CheckBox" fmlaLink="EXTDAT!$C$32" lockText="1" noThreeD="1"/>
</file>

<file path=xl/ctrlProps/ctrlProp17.xml><?xml version="1.0" encoding="utf-8"?>
<formControlPr xmlns="http://schemas.microsoft.com/office/spreadsheetml/2009/9/main" objectType="CheckBox" fmlaLink="EXTDAT!$C$33" lockText="1" noThreeD="1"/>
</file>

<file path=xl/ctrlProps/ctrlProp18.xml><?xml version="1.0" encoding="utf-8"?>
<formControlPr xmlns="http://schemas.microsoft.com/office/spreadsheetml/2009/9/main" objectType="CheckBox" fmlaLink="EXTDAT!$C$34" lockText="1" noThreeD="1"/>
</file>

<file path=xl/ctrlProps/ctrlProp19.xml><?xml version="1.0" encoding="utf-8"?>
<formControlPr xmlns="http://schemas.microsoft.com/office/spreadsheetml/2009/9/main" objectType="CheckBox" fmlaLink="EXTDAT!$C$35"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EXTDAT!$C$38"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EXTDAT!$C$39" lockText="1" noThreeD="1"/>
</file>

<file path=xl/ctrlProps/ctrlProp26.xml><?xml version="1.0" encoding="utf-8"?>
<formControlPr xmlns="http://schemas.microsoft.com/office/spreadsheetml/2009/9/main" objectType="CheckBox" fmlaLink="EXTDAT!$C$40" lockText="1" noThreeD="1"/>
</file>

<file path=xl/ctrlProps/ctrlProp27.xml><?xml version="1.0" encoding="utf-8"?>
<formControlPr xmlns="http://schemas.microsoft.com/office/spreadsheetml/2009/9/main" objectType="CheckBox" fmlaLink="EXTDAT!$C$41" lockText="1" noThreeD="1"/>
</file>

<file path=xl/ctrlProps/ctrlProp28.xml><?xml version="1.0" encoding="utf-8"?>
<formControlPr xmlns="http://schemas.microsoft.com/office/spreadsheetml/2009/9/main" objectType="CheckBox" fmlaLink="EXTDAT!$C$42" lockText="1" noThreeD="1"/>
</file>

<file path=xl/ctrlProps/ctrlProp29.xml><?xml version="1.0" encoding="utf-8"?>
<formControlPr xmlns="http://schemas.microsoft.com/office/spreadsheetml/2009/9/main" objectType="CheckBox" fmlaLink="EXTDAT!$E$38"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EXTDAT!$E$39" lockText="1" noThreeD="1"/>
</file>

<file path=xl/ctrlProps/ctrlProp31.xml><?xml version="1.0" encoding="utf-8"?>
<formControlPr xmlns="http://schemas.microsoft.com/office/spreadsheetml/2009/9/main" objectType="CheckBox" fmlaLink="EXTDAT!$E$40" lockText="1" noThreeD="1"/>
</file>

<file path=xl/ctrlProps/ctrlProp32.xml><?xml version="1.0" encoding="utf-8"?>
<formControlPr xmlns="http://schemas.microsoft.com/office/spreadsheetml/2009/9/main" objectType="CheckBox" fmlaLink="EXTDAT!$E$41" lockText="1" noThreeD="1"/>
</file>

<file path=xl/ctrlProps/ctrlProp33.xml><?xml version="1.0" encoding="utf-8"?>
<formControlPr xmlns="http://schemas.microsoft.com/office/spreadsheetml/2009/9/main" objectType="CheckBox" fmlaLink="EXTDAT!$E$42" lockText="1" noThreeD="1"/>
</file>

<file path=xl/ctrlProps/ctrlProp34.xml><?xml version="1.0" encoding="utf-8"?>
<formControlPr xmlns="http://schemas.microsoft.com/office/spreadsheetml/2009/9/main" objectType="CheckBox" fmlaLink="EXTDAT!$C$49" lockText="1" noThreeD="1"/>
</file>

<file path=xl/ctrlProps/ctrlProp35.xml><?xml version="1.0" encoding="utf-8"?>
<formControlPr xmlns="http://schemas.microsoft.com/office/spreadsheetml/2009/9/main" objectType="CheckBox" fmlaLink="EXTDAT!$C$48" lockText="1" noThreeD="1"/>
</file>

<file path=xl/ctrlProps/ctrlProp36.xml><?xml version="1.0" encoding="utf-8"?>
<formControlPr xmlns="http://schemas.microsoft.com/office/spreadsheetml/2009/9/main" objectType="CheckBox" fmlaLink="EXTDAT!$C$47" lockText="1" noThreeD="1"/>
</file>

<file path=xl/ctrlProps/ctrlProp37.xml><?xml version="1.0" encoding="utf-8"?>
<formControlPr xmlns="http://schemas.microsoft.com/office/spreadsheetml/2009/9/main" objectType="CheckBox" fmlaLink="EXTDAT!$C$46" lockText="1" noThreeD="1"/>
</file>

<file path=xl/ctrlProps/ctrlProp38.xml><?xml version="1.0" encoding="utf-8"?>
<formControlPr xmlns="http://schemas.microsoft.com/office/spreadsheetml/2009/9/main" objectType="CheckBox" fmlaLink="EXTDAT!$C$45"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EXTDAT!$C$25" lockText="1" noThreeD="1"/>
</file>

<file path=xl/ctrlProps/ctrlProp7.xml><?xml version="1.0" encoding="utf-8"?>
<formControlPr xmlns="http://schemas.microsoft.com/office/spreadsheetml/2009/9/main" objectType="CheckBox" fmlaLink="EXTDAT!$C$26" lockText="1" noThreeD="1"/>
</file>

<file path=xl/ctrlProps/ctrlProp8.xml><?xml version="1.0" encoding="utf-8"?>
<formControlPr xmlns="http://schemas.microsoft.com/office/spreadsheetml/2009/9/main" objectType="CheckBox" fmlaLink="EXTDAT!$C$27" lockText="1" noThreeD="1"/>
</file>

<file path=xl/ctrlProps/ctrlProp9.xml><?xml version="1.0" encoding="utf-8"?>
<formControlPr xmlns="http://schemas.microsoft.com/office/spreadsheetml/2009/9/main" objectType="CheckBox" fmlaLink="EXTDAT!$C$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9</xdr:row>
          <xdr:rowOff>12700</xdr:rowOff>
        </xdr:from>
        <xdr:to>
          <xdr:col>6</xdr:col>
          <xdr:colOff>571500</xdr:colOff>
          <xdr:row>9</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xdr:row>
          <xdr:rowOff>12700</xdr:rowOff>
        </xdr:from>
        <xdr:to>
          <xdr:col>6</xdr:col>
          <xdr:colOff>571500</xdr:colOff>
          <xdr:row>20</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12700</xdr:rowOff>
        </xdr:from>
        <xdr:to>
          <xdr:col>6</xdr:col>
          <xdr:colOff>571500</xdr:colOff>
          <xdr:row>31</xdr:row>
          <xdr:rowOff>228600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42</xdr:row>
          <xdr:rowOff>12700</xdr:rowOff>
        </xdr:from>
        <xdr:to>
          <xdr:col>6</xdr:col>
          <xdr:colOff>571500</xdr:colOff>
          <xdr:row>42</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12700</xdr:rowOff>
        </xdr:from>
        <xdr:to>
          <xdr:col>6</xdr:col>
          <xdr:colOff>571500</xdr:colOff>
          <xdr:row>53</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xdr:row>
          <xdr:rowOff>12700</xdr:rowOff>
        </xdr:from>
        <xdr:to>
          <xdr:col>6</xdr:col>
          <xdr:colOff>571500</xdr:colOff>
          <xdr:row>20</xdr:row>
          <xdr:rowOff>228600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12700</xdr:rowOff>
        </xdr:from>
        <xdr:to>
          <xdr:col>6</xdr:col>
          <xdr:colOff>571500</xdr:colOff>
          <xdr:row>31</xdr:row>
          <xdr:rowOff>228600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42</xdr:row>
          <xdr:rowOff>12700</xdr:rowOff>
        </xdr:from>
        <xdr:to>
          <xdr:col>6</xdr:col>
          <xdr:colOff>571500</xdr:colOff>
          <xdr:row>42</xdr:row>
          <xdr:rowOff>228600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12700</xdr:rowOff>
        </xdr:from>
        <xdr:to>
          <xdr:col>6</xdr:col>
          <xdr:colOff>571500</xdr:colOff>
          <xdr:row>53</xdr:row>
          <xdr:rowOff>228600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50800</xdr:rowOff>
        </xdr:from>
        <xdr:to>
          <xdr:col>6</xdr:col>
          <xdr:colOff>571500</xdr:colOff>
          <xdr:row>14</xdr:row>
          <xdr:rowOff>266700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xdr:row>
          <xdr:rowOff>50800</xdr:rowOff>
        </xdr:from>
        <xdr:to>
          <xdr:col>6</xdr:col>
          <xdr:colOff>571500</xdr:colOff>
          <xdr:row>25</xdr:row>
          <xdr:rowOff>266700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36</xdr:row>
          <xdr:rowOff>50800</xdr:rowOff>
        </xdr:from>
        <xdr:to>
          <xdr:col>6</xdr:col>
          <xdr:colOff>571500</xdr:colOff>
          <xdr:row>36</xdr:row>
          <xdr:rowOff>266700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47</xdr:row>
          <xdr:rowOff>50800</xdr:rowOff>
        </xdr:from>
        <xdr:to>
          <xdr:col>6</xdr:col>
          <xdr:colOff>571500</xdr:colOff>
          <xdr:row>47</xdr:row>
          <xdr:rowOff>266700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50800</xdr:rowOff>
        </xdr:from>
        <xdr:to>
          <xdr:col>6</xdr:col>
          <xdr:colOff>571500</xdr:colOff>
          <xdr:row>58</xdr:row>
          <xdr:rowOff>266700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13</xdr:row>
          <xdr:rowOff>50800</xdr:rowOff>
        </xdr:from>
        <xdr:to>
          <xdr:col>6</xdr:col>
          <xdr:colOff>571500</xdr:colOff>
          <xdr:row>13</xdr:row>
          <xdr:rowOff>266700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24</xdr:row>
          <xdr:rowOff>50800</xdr:rowOff>
        </xdr:from>
        <xdr:to>
          <xdr:col>6</xdr:col>
          <xdr:colOff>571500</xdr:colOff>
          <xdr:row>24</xdr:row>
          <xdr:rowOff>266700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300-000034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50800</xdr:rowOff>
        </xdr:from>
        <xdr:to>
          <xdr:col>6</xdr:col>
          <xdr:colOff>571500</xdr:colOff>
          <xdr:row>35</xdr:row>
          <xdr:rowOff>266700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46</xdr:row>
          <xdr:rowOff>50800</xdr:rowOff>
        </xdr:from>
        <xdr:to>
          <xdr:col>6</xdr:col>
          <xdr:colOff>571500</xdr:colOff>
          <xdr:row>46</xdr:row>
          <xdr:rowOff>266700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50800</xdr:rowOff>
        </xdr:from>
        <xdr:to>
          <xdr:col>6</xdr:col>
          <xdr:colOff>571500</xdr:colOff>
          <xdr:row>57</xdr:row>
          <xdr:rowOff>266700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9</xdr:row>
          <xdr:rowOff>12700</xdr:rowOff>
        </xdr:from>
        <xdr:to>
          <xdr:col>6</xdr:col>
          <xdr:colOff>571500</xdr:colOff>
          <xdr:row>9</xdr:row>
          <xdr:rowOff>228600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xdr:row>
          <xdr:rowOff>12700</xdr:rowOff>
        </xdr:from>
        <xdr:to>
          <xdr:col>6</xdr:col>
          <xdr:colOff>571500</xdr:colOff>
          <xdr:row>20</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12700</xdr:rowOff>
        </xdr:from>
        <xdr:to>
          <xdr:col>6</xdr:col>
          <xdr:colOff>571500</xdr:colOff>
          <xdr:row>31</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42</xdr:row>
          <xdr:rowOff>12700</xdr:rowOff>
        </xdr:from>
        <xdr:to>
          <xdr:col>6</xdr:col>
          <xdr:colOff>571500</xdr:colOff>
          <xdr:row>42</xdr:row>
          <xdr:rowOff>228600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12700</xdr:rowOff>
        </xdr:from>
        <xdr:to>
          <xdr:col>6</xdr:col>
          <xdr:colOff>571500</xdr:colOff>
          <xdr:row>53</xdr:row>
          <xdr:rowOff>228600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20</xdr:row>
          <xdr:rowOff>12700</xdr:rowOff>
        </xdr:from>
        <xdr:to>
          <xdr:col>6</xdr:col>
          <xdr:colOff>571500</xdr:colOff>
          <xdr:row>20</xdr:row>
          <xdr:rowOff>228600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12700</xdr:rowOff>
        </xdr:from>
        <xdr:to>
          <xdr:col>6</xdr:col>
          <xdr:colOff>571500</xdr:colOff>
          <xdr:row>31</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42</xdr:row>
          <xdr:rowOff>12700</xdr:rowOff>
        </xdr:from>
        <xdr:to>
          <xdr:col>6</xdr:col>
          <xdr:colOff>571500</xdr:colOff>
          <xdr:row>42</xdr:row>
          <xdr:rowOff>228600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12700</xdr:rowOff>
        </xdr:from>
        <xdr:to>
          <xdr:col>6</xdr:col>
          <xdr:colOff>571500</xdr:colOff>
          <xdr:row>53</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50800</xdr:rowOff>
        </xdr:from>
        <xdr:to>
          <xdr:col>6</xdr:col>
          <xdr:colOff>571500</xdr:colOff>
          <xdr:row>14</xdr:row>
          <xdr:rowOff>266700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xdr:row>
          <xdr:rowOff>50800</xdr:rowOff>
        </xdr:from>
        <xdr:to>
          <xdr:col>6</xdr:col>
          <xdr:colOff>571500</xdr:colOff>
          <xdr:row>25</xdr:row>
          <xdr:rowOff>266700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36</xdr:row>
          <xdr:rowOff>50800</xdr:rowOff>
        </xdr:from>
        <xdr:to>
          <xdr:col>6</xdr:col>
          <xdr:colOff>571500</xdr:colOff>
          <xdr:row>36</xdr:row>
          <xdr:rowOff>266700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47</xdr:row>
          <xdr:rowOff>50800</xdr:rowOff>
        </xdr:from>
        <xdr:to>
          <xdr:col>6</xdr:col>
          <xdr:colOff>571500</xdr:colOff>
          <xdr:row>47</xdr:row>
          <xdr:rowOff>266700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50800</xdr:rowOff>
        </xdr:from>
        <xdr:to>
          <xdr:col>6</xdr:col>
          <xdr:colOff>571500</xdr:colOff>
          <xdr:row>58</xdr:row>
          <xdr:rowOff>266700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50800</xdr:rowOff>
        </xdr:from>
        <xdr:to>
          <xdr:col>6</xdr:col>
          <xdr:colOff>571500</xdr:colOff>
          <xdr:row>57</xdr:row>
          <xdr:rowOff>266700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46</xdr:row>
          <xdr:rowOff>50800</xdr:rowOff>
        </xdr:from>
        <xdr:to>
          <xdr:col>6</xdr:col>
          <xdr:colOff>571500</xdr:colOff>
          <xdr:row>46</xdr:row>
          <xdr:rowOff>266700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50800</xdr:rowOff>
        </xdr:from>
        <xdr:to>
          <xdr:col>6</xdr:col>
          <xdr:colOff>571500</xdr:colOff>
          <xdr:row>35</xdr:row>
          <xdr:rowOff>266700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24</xdr:row>
          <xdr:rowOff>50800</xdr:rowOff>
        </xdr:from>
        <xdr:to>
          <xdr:col>6</xdr:col>
          <xdr:colOff>571500</xdr:colOff>
          <xdr:row>24</xdr:row>
          <xdr:rowOff>266700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13</xdr:row>
          <xdr:rowOff>50800</xdr:rowOff>
        </xdr:from>
        <xdr:to>
          <xdr:col>6</xdr:col>
          <xdr:colOff>571500</xdr:colOff>
          <xdr:row>13</xdr:row>
          <xdr:rowOff>266700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Z12"/>
  <sheetViews>
    <sheetView showGridLines="0" showRowColHeaders="0" showZeros="0" showOutlineSymbols="0" defaultGridColor="0" colorId="12" workbookViewId="0">
      <pane ySplit="5" topLeftCell="A6" activePane="bottomLeft" state="frozen"/>
      <selection pane="bottomLeft" activeCell="P8" sqref="P8:X8"/>
    </sheetView>
  </sheetViews>
  <sheetFormatPr defaultColWidth="3.7265625" defaultRowHeight="11.5"/>
  <cols>
    <col min="1" max="16384" width="3.7265625" style="28"/>
  </cols>
  <sheetData>
    <row r="1" spans="1:26" ht="18" customHeight="1">
      <c r="A1" s="97"/>
      <c r="B1" s="166"/>
      <c r="C1" s="166"/>
      <c r="D1" s="166"/>
      <c r="E1" s="166"/>
      <c r="F1" s="166"/>
      <c r="G1" s="166"/>
      <c r="H1" s="166"/>
      <c r="I1" s="166"/>
      <c r="J1" s="166"/>
      <c r="K1" s="166"/>
      <c r="L1" s="166"/>
      <c r="M1" s="166"/>
      <c r="N1" s="166"/>
      <c r="O1" s="166"/>
      <c r="P1" s="166"/>
      <c r="Q1" s="166"/>
      <c r="R1" s="166"/>
      <c r="S1" s="166"/>
      <c r="T1" s="166"/>
      <c r="U1" s="166"/>
      <c r="V1" s="166"/>
      <c r="W1" s="166"/>
      <c r="X1" s="166"/>
      <c r="Y1" s="167"/>
      <c r="Z1" s="97"/>
    </row>
    <row r="2" spans="1:26" ht="36" customHeight="1">
      <c r="A2" s="97"/>
      <c r="B2" s="168" t="s">
        <v>290</v>
      </c>
      <c r="C2" s="168"/>
      <c r="D2" s="168"/>
      <c r="E2" s="168"/>
      <c r="F2" s="168"/>
      <c r="G2" s="168"/>
      <c r="H2" s="168"/>
      <c r="I2" s="168"/>
      <c r="J2" s="168"/>
      <c r="K2" s="168"/>
      <c r="L2" s="168"/>
      <c r="M2" s="168"/>
      <c r="N2" s="168"/>
      <c r="O2" s="168"/>
      <c r="P2" s="168"/>
      <c r="Q2" s="168"/>
      <c r="R2" s="168"/>
      <c r="S2" s="168"/>
      <c r="T2" s="168"/>
      <c r="U2" s="168"/>
      <c r="V2" s="168"/>
      <c r="W2" s="168"/>
      <c r="X2" s="168"/>
      <c r="Y2" s="169"/>
      <c r="Z2" s="97"/>
    </row>
    <row r="3" spans="1:26" ht="18" customHeight="1">
      <c r="A3" s="97"/>
      <c r="B3" s="170" t="str">
        <f>DmTitleRow01ForSheetHeaders</f>
        <v>TRAKTAMENTSRÄKNING</v>
      </c>
      <c r="C3" s="170"/>
      <c r="D3" s="170"/>
      <c r="E3" s="170"/>
      <c r="F3" s="170"/>
      <c r="G3" s="170"/>
      <c r="H3" s="170"/>
      <c r="I3" s="170"/>
      <c r="J3" s="170"/>
      <c r="K3" s="170"/>
      <c r="L3" s="170"/>
      <c r="M3" s="170"/>
      <c r="N3" s="170"/>
      <c r="O3" s="170"/>
      <c r="P3" s="170"/>
      <c r="Q3" s="170"/>
      <c r="R3" s="170"/>
      <c r="S3" s="170"/>
      <c r="T3" s="170"/>
      <c r="U3" s="170"/>
      <c r="V3" s="170"/>
      <c r="W3" s="170"/>
      <c r="X3" s="170"/>
      <c r="Y3" s="171"/>
      <c r="Z3" s="97"/>
    </row>
    <row r="4" spans="1:26" ht="18" customHeight="1">
      <c r="A4" s="97"/>
      <c r="B4" s="170">
        <f>DmTitleRow02ForSheetHeaders</f>
        <v>2023</v>
      </c>
      <c r="C4" s="170"/>
      <c r="D4" s="170"/>
      <c r="E4" s="170"/>
      <c r="F4" s="170"/>
      <c r="G4" s="170"/>
      <c r="H4" s="170"/>
      <c r="I4" s="170"/>
      <c r="J4" s="170"/>
      <c r="K4" s="170"/>
      <c r="L4" s="170"/>
      <c r="M4" s="170"/>
      <c r="N4" s="170"/>
      <c r="O4" s="170"/>
      <c r="P4" s="170"/>
      <c r="Q4" s="170"/>
      <c r="R4" s="170"/>
      <c r="S4" s="170"/>
      <c r="T4" s="170"/>
      <c r="U4" s="170"/>
      <c r="V4" s="170"/>
      <c r="W4" s="170"/>
      <c r="X4" s="170"/>
      <c r="Y4" s="171"/>
      <c r="Z4" s="97"/>
    </row>
    <row r="5" spans="1:26" ht="10" customHeight="1">
      <c r="A5" s="97"/>
      <c r="B5" s="172"/>
      <c r="C5" s="172"/>
      <c r="D5" s="172"/>
      <c r="E5" s="172"/>
      <c r="F5" s="172"/>
      <c r="G5" s="172"/>
      <c r="H5" s="172"/>
      <c r="I5" s="172"/>
      <c r="J5" s="172"/>
      <c r="K5" s="172"/>
      <c r="L5" s="172"/>
      <c r="M5" s="172"/>
      <c r="N5" s="172"/>
      <c r="O5" s="172"/>
      <c r="P5" s="172"/>
      <c r="Q5" s="172"/>
      <c r="R5" s="172"/>
      <c r="S5" s="172"/>
      <c r="T5" s="172"/>
      <c r="U5" s="172"/>
      <c r="V5" s="172"/>
      <c r="W5" s="172"/>
      <c r="X5" s="172"/>
      <c r="Y5" s="172"/>
      <c r="Z5" s="97"/>
    </row>
    <row r="6" spans="1:26" ht="10" customHeight="1">
      <c r="A6" s="97"/>
      <c r="B6" s="173"/>
      <c r="C6" s="173"/>
      <c r="D6" s="173"/>
      <c r="E6" s="173"/>
      <c r="F6" s="173"/>
      <c r="G6" s="173"/>
      <c r="H6" s="173"/>
      <c r="I6" s="173"/>
      <c r="J6" s="173"/>
      <c r="K6" s="173"/>
      <c r="L6" s="173"/>
      <c r="M6" s="173"/>
      <c r="N6" s="173"/>
      <c r="O6" s="173"/>
      <c r="P6" s="173"/>
      <c r="Q6" s="173"/>
      <c r="R6" s="173"/>
      <c r="S6" s="173"/>
      <c r="T6" s="173"/>
      <c r="U6" s="173"/>
      <c r="V6" s="173"/>
      <c r="W6" s="173"/>
      <c r="X6" s="173"/>
      <c r="Y6" s="173"/>
      <c r="Z6" s="97"/>
    </row>
    <row r="7" spans="1:26" ht="20.25" customHeight="1">
      <c r="A7" s="97"/>
      <c r="B7" s="98"/>
      <c r="C7" s="164" t="s">
        <v>142</v>
      </c>
      <c r="D7" s="164"/>
      <c r="E7" s="164"/>
      <c r="F7" s="164"/>
      <c r="G7" s="164"/>
      <c r="H7" s="164"/>
      <c r="I7" s="164"/>
      <c r="J7" s="164"/>
      <c r="K7" s="164"/>
      <c r="L7" s="98"/>
      <c r="M7" s="165"/>
      <c r="N7" s="165"/>
      <c r="O7" s="98"/>
      <c r="P7" s="164" t="s">
        <v>158</v>
      </c>
      <c r="Q7" s="164"/>
      <c r="R7" s="164"/>
      <c r="S7" s="164"/>
      <c r="T7" s="164"/>
      <c r="U7" s="164"/>
      <c r="V7" s="164"/>
      <c r="W7" s="164"/>
      <c r="X7" s="164"/>
      <c r="Y7" s="99"/>
      <c r="Z7" s="97"/>
    </row>
    <row r="8" spans="1:26" s="105" customFormat="1" ht="20.25" customHeight="1">
      <c r="A8" s="100"/>
      <c r="B8" s="101"/>
      <c r="C8" s="162" t="s">
        <v>143</v>
      </c>
      <c r="D8" s="162"/>
      <c r="E8" s="162"/>
      <c r="F8" s="162"/>
      <c r="G8" s="162"/>
      <c r="H8" s="162"/>
      <c r="I8" s="162"/>
      <c r="J8" s="162"/>
      <c r="K8" s="162"/>
      <c r="L8" s="102"/>
      <c r="M8" s="103"/>
      <c r="N8" s="103"/>
      <c r="O8" s="104"/>
      <c r="P8" s="163" t="s">
        <v>291</v>
      </c>
      <c r="Q8" s="163"/>
      <c r="R8" s="163"/>
      <c r="S8" s="163"/>
      <c r="T8" s="163"/>
      <c r="U8" s="163"/>
      <c r="V8" s="163"/>
      <c r="W8" s="163"/>
      <c r="X8" s="163"/>
      <c r="Y8" s="102"/>
      <c r="Z8" s="100"/>
    </row>
    <row r="9" spans="1:26" s="105" customFormat="1" ht="20.25" customHeight="1">
      <c r="A9" s="100"/>
      <c r="B9" s="103"/>
      <c r="C9" s="162" t="s">
        <v>144</v>
      </c>
      <c r="D9" s="162"/>
      <c r="E9" s="162"/>
      <c r="F9" s="162"/>
      <c r="G9" s="162"/>
      <c r="H9" s="162"/>
      <c r="I9" s="162"/>
      <c r="J9" s="162"/>
      <c r="K9" s="162"/>
      <c r="L9" s="106"/>
      <c r="M9" s="103"/>
      <c r="N9" s="103"/>
      <c r="O9" s="103"/>
      <c r="P9" s="163" t="s">
        <v>292</v>
      </c>
      <c r="Q9" s="163"/>
      <c r="R9" s="163"/>
      <c r="S9" s="163"/>
      <c r="T9" s="163"/>
      <c r="U9" s="163"/>
      <c r="V9" s="163"/>
      <c r="W9" s="163"/>
      <c r="X9" s="163"/>
      <c r="Y9" s="106"/>
      <c r="Z9" s="100"/>
    </row>
    <row r="10" spans="1:26" s="105" customFormat="1" ht="20.25" customHeight="1">
      <c r="A10" s="100"/>
      <c r="B10" s="103"/>
      <c r="C10" s="103"/>
      <c r="D10" s="103"/>
      <c r="E10" s="103"/>
      <c r="F10" s="103"/>
      <c r="G10" s="103"/>
      <c r="H10" s="103"/>
      <c r="I10" s="103"/>
      <c r="J10" s="103"/>
      <c r="K10" s="103"/>
      <c r="L10" s="103"/>
      <c r="M10" s="103"/>
      <c r="N10" s="103"/>
      <c r="O10" s="103"/>
      <c r="P10" s="163" t="s">
        <v>161</v>
      </c>
      <c r="Q10" s="163"/>
      <c r="R10" s="163"/>
      <c r="S10" s="163"/>
      <c r="T10" s="163"/>
      <c r="U10" s="163"/>
      <c r="V10" s="163"/>
      <c r="W10" s="163"/>
      <c r="X10" s="163"/>
      <c r="Y10" s="102"/>
      <c r="Z10" s="100"/>
    </row>
    <row r="11" spans="1:26" ht="10" customHeight="1">
      <c r="A11" s="9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97"/>
    </row>
    <row r="12" spans="1:26" ht="18" customHeight="1">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row>
  </sheetData>
  <sheetProtection sheet="1" objects="1" scenarios="1"/>
  <mergeCells count="14">
    <mergeCell ref="C7:K7"/>
    <mergeCell ref="M7:N7"/>
    <mergeCell ref="P7:X7"/>
    <mergeCell ref="B1:Y1"/>
    <mergeCell ref="B2:Y2"/>
    <mergeCell ref="B3:Y3"/>
    <mergeCell ref="B4:Y4"/>
    <mergeCell ref="B5:Y5"/>
    <mergeCell ref="B6:Y6"/>
    <mergeCell ref="C8:K8"/>
    <mergeCell ref="P8:X8"/>
    <mergeCell ref="C9:K9"/>
    <mergeCell ref="P9:X9"/>
    <mergeCell ref="P10:X10"/>
  </mergeCells>
  <phoneticPr fontId="1" type="noConversion"/>
  <hyperlinks>
    <hyperlink ref="C8:K8" location="SI!B2" tooltip="Klicka för att gå till bladet" display="Snabbinstruktion" xr:uid="{00000000-0004-0000-0000-000000000000}"/>
    <hyperlink ref="C9:K9" location="BI!B2" tooltip="Klicka för att gå till bladet" display="Basuppgifter" xr:uid="{00000000-0004-0000-0000-000001000000}"/>
    <hyperlink ref="P8:X8" location="ALLOWANCE1!C2" tooltip="Klicka för att gå till bladet" display="Traktamentsräkning 1 för perioden" xr:uid="{00000000-0004-0000-0000-000002000000}"/>
    <hyperlink ref="P9:X9" location="ALLOWANCE2!C2" tooltip="Klicka för att gå till bladet" display="Traktamentsräkning 2 för perioden" xr:uid="{00000000-0004-0000-0000-000003000000}"/>
    <hyperlink ref="P10:X10" location="SUMMARY!C2" tooltip="Klicka för att gå till bladet" display="Sammanställning för perioden" xr:uid="{00000000-0004-0000-0000-000004000000}"/>
  </hyperlinks>
  <printOptions horizontalCentered="1"/>
  <pageMargins left="0.51181102362204722" right="0.51181102362204722" top="0.98425196850393704" bottom="0.98425196850393704" header="0.51181102362204722" footer="0.39370078740157483"/>
  <pageSetup paperSize="9" orientation="portrait" blackAndWhite="1" r:id="rId1"/>
  <headerFooter alignWithMargins="0">
    <oddFooter>&amp;L&amp;"Arial,Normal"&amp;6Copyright DokuMera
&amp;"Arial,Normal"&amp;6DM 1189 &amp;"Arial,Normal"&amp;6V 1.52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C17"/>
  <sheetViews>
    <sheetView showGridLines="0" showRowColHeaders="0" showZeros="0" showOutlineSymbols="0" defaultGridColor="0" colorId="12" workbookViewId="0">
      <pane ySplit="5" topLeftCell="A6" activePane="bottomLeft" state="frozen"/>
      <selection pane="bottomLeft" activeCell="B1" sqref="B1"/>
    </sheetView>
  </sheetViews>
  <sheetFormatPr defaultColWidth="3.7265625" defaultRowHeight="12.5"/>
  <cols>
    <col min="1" max="1" width="3.7265625" style="22" customWidth="1"/>
    <col min="2" max="2" width="76.7265625" style="22" customWidth="1"/>
    <col min="3" max="16384" width="3.7265625" style="22"/>
  </cols>
  <sheetData>
    <row r="1" spans="1:3" ht="18" customHeight="1">
      <c r="A1" s="109"/>
      <c r="B1" s="113" t="s">
        <v>138</v>
      </c>
      <c r="C1" s="109"/>
    </row>
    <row r="2" spans="1:3" ht="36" customHeight="1">
      <c r="A2" s="109"/>
      <c r="B2" s="23" t="s">
        <v>139</v>
      </c>
      <c r="C2" s="109"/>
    </row>
    <row r="3" spans="1:3" s="24" customFormat="1" ht="18" customHeight="1">
      <c r="A3" s="110"/>
      <c r="B3" s="25" t="str">
        <f>DmTitleRow01ForSheetHeaders</f>
        <v>TRAKTAMENTSRÄKNING</v>
      </c>
      <c r="C3" s="110"/>
    </row>
    <row r="4" spans="1:3" s="24" customFormat="1" ht="18" customHeight="1">
      <c r="A4" s="110"/>
      <c r="B4" s="25">
        <f>DmTitleRow02ForSheetHeaders</f>
        <v>2023</v>
      </c>
      <c r="C4" s="110"/>
    </row>
    <row r="5" spans="1:3" ht="10" customHeight="1">
      <c r="A5" s="109"/>
      <c r="B5" s="111"/>
      <c r="C5" s="109"/>
    </row>
    <row r="6" spans="1:3" ht="10" customHeight="1">
      <c r="A6" s="109"/>
      <c r="B6" s="112"/>
      <c r="C6" s="109"/>
    </row>
    <row r="7" spans="1:3" ht="60" customHeight="1">
      <c r="A7" s="109"/>
      <c r="B7" s="108" t="s">
        <v>157</v>
      </c>
      <c r="C7" s="109"/>
    </row>
    <row r="8" spans="1:3" ht="63.75" customHeight="1">
      <c r="A8" s="109"/>
      <c r="B8" s="26" t="s">
        <v>299</v>
      </c>
      <c r="C8" s="109"/>
    </row>
    <row r="9" spans="1:3" ht="83.25" customHeight="1">
      <c r="A9" s="109"/>
      <c r="B9" s="26" t="s">
        <v>176</v>
      </c>
      <c r="C9" s="109"/>
    </row>
    <row r="10" spans="1:3" ht="38">
      <c r="A10" s="109"/>
      <c r="B10" s="26" t="s">
        <v>140</v>
      </c>
      <c r="C10" s="109"/>
    </row>
    <row r="11" spans="1:3" ht="56.25" customHeight="1">
      <c r="A11" s="109"/>
      <c r="B11" s="26" t="s">
        <v>177</v>
      </c>
      <c r="C11" s="109"/>
    </row>
    <row r="12" spans="1:3" ht="55.5" customHeight="1">
      <c r="A12" s="109"/>
      <c r="B12" s="26" t="s">
        <v>276</v>
      </c>
      <c r="C12" s="109"/>
    </row>
    <row r="13" spans="1:3" ht="58" customHeight="1">
      <c r="A13" s="109"/>
      <c r="B13" s="26" t="s">
        <v>175</v>
      </c>
      <c r="C13" s="109"/>
    </row>
    <row r="14" spans="1:3" ht="45" customHeight="1">
      <c r="A14" s="109"/>
      <c r="B14" s="26" t="s">
        <v>152</v>
      </c>
      <c r="C14" s="109"/>
    </row>
    <row r="15" spans="1:3" ht="34.5" customHeight="1">
      <c r="A15" s="109"/>
      <c r="B15" s="26" t="s">
        <v>141</v>
      </c>
      <c r="C15" s="109"/>
    </row>
    <row r="16" spans="1:3">
      <c r="A16" s="109"/>
      <c r="B16" s="27"/>
      <c r="C16" s="109"/>
    </row>
    <row r="17" spans="1:3" ht="18" customHeight="1">
      <c r="A17" s="109"/>
      <c r="B17" s="109"/>
      <c r="C17" s="109"/>
    </row>
  </sheetData>
  <sheetProtection sheet="1" objects="1" scenarios="1"/>
  <phoneticPr fontId="2" type="noConversion"/>
  <hyperlinks>
    <hyperlink ref="B1" location="MM!B2" tooltip="Klicka för att gå till huvudmenyn" display="T I L L  H U V U D M E N Y N" xr:uid="{00000000-0004-0000-0100-000000000000}"/>
  </hyperlinks>
  <printOptions horizontalCentered="1"/>
  <pageMargins left="0.51181102362204722" right="0.51181102362204722" top="0.98425196850393704" bottom="0.98425196850393704" header="0.51181102362204722" footer="0.39370078740157483"/>
  <pageSetup paperSize="9" orientation="portrait" blackAndWhite="1" r:id="rId1"/>
  <headerFooter alignWithMargins="0">
    <oddFooter>&amp;L&amp;"Arial,Normal"&amp;6Copyright DokuMera
&amp;"Arial,Normal"&amp;6DM 1189 &amp;"Arial,Normal"&amp;6V 1.52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I25"/>
  <sheetViews>
    <sheetView showGridLines="0" showRowColHeaders="0" showOutlineSymbols="0" defaultGridColor="0" colorId="12" workbookViewId="0">
      <pane ySplit="5" topLeftCell="A6" activePane="bottomLeft" state="frozen"/>
      <selection pane="bottomLeft" activeCell="B2" sqref="B2:H2"/>
    </sheetView>
  </sheetViews>
  <sheetFormatPr defaultColWidth="9.1796875" defaultRowHeight="12.5"/>
  <cols>
    <col min="1" max="1" width="3.7265625" style="1" customWidth="1"/>
    <col min="2" max="2" width="8.7265625" style="1" customWidth="1"/>
    <col min="3" max="3" width="12.7265625" style="1" customWidth="1"/>
    <col min="4" max="6" width="8.7265625" style="1" customWidth="1"/>
    <col min="7" max="7" width="12.7265625" style="1" customWidth="1"/>
    <col min="8" max="8" width="8.7265625" style="1" customWidth="1"/>
    <col min="9" max="9" width="3.7265625" style="1" customWidth="1"/>
    <col min="10" max="10" width="8.7265625" style="1" customWidth="1"/>
    <col min="11" max="16384" width="9.1796875" style="1"/>
  </cols>
  <sheetData>
    <row r="1" spans="1:9" ht="18" customHeight="1">
      <c r="A1" s="93"/>
      <c r="B1" s="186" t="s">
        <v>138</v>
      </c>
      <c r="C1" s="186"/>
      <c r="D1" s="186"/>
      <c r="E1" s="186"/>
      <c r="F1" s="186"/>
      <c r="G1" s="186"/>
      <c r="H1" s="186"/>
      <c r="I1" s="93"/>
    </row>
    <row r="2" spans="1:9" ht="36" customHeight="1">
      <c r="A2" s="93"/>
      <c r="B2" s="187" t="s">
        <v>111</v>
      </c>
      <c r="C2" s="187"/>
      <c r="D2" s="187"/>
      <c r="E2" s="187"/>
      <c r="F2" s="187"/>
      <c r="G2" s="187"/>
      <c r="H2" s="187"/>
      <c r="I2" s="93"/>
    </row>
    <row r="3" spans="1:9" ht="18" customHeight="1">
      <c r="A3" s="93"/>
      <c r="B3" s="188" t="str">
        <f>DmTitleRow01ForSheetHeaders</f>
        <v>TRAKTAMENTSRÄKNING</v>
      </c>
      <c r="C3" s="188"/>
      <c r="D3" s="188"/>
      <c r="E3" s="188"/>
      <c r="F3" s="188"/>
      <c r="G3" s="188"/>
      <c r="H3" s="188"/>
      <c r="I3" s="93"/>
    </row>
    <row r="4" spans="1:9" ht="18" customHeight="1">
      <c r="A4" s="93"/>
      <c r="B4" s="188">
        <f>DmTitleRow02ForSheetHeaders</f>
        <v>2023</v>
      </c>
      <c r="C4" s="188"/>
      <c r="D4" s="188"/>
      <c r="E4" s="188"/>
      <c r="F4" s="188"/>
      <c r="G4" s="188"/>
      <c r="H4" s="188"/>
      <c r="I4" s="93"/>
    </row>
    <row r="5" spans="1:9" ht="10" customHeight="1">
      <c r="A5" s="93"/>
      <c r="B5" s="174"/>
      <c r="C5" s="174"/>
      <c r="D5" s="174"/>
      <c r="E5" s="174"/>
      <c r="F5" s="174"/>
      <c r="G5" s="174"/>
      <c r="H5" s="174"/>
      <c r="I5" s="93"/>
    </row>
    <row r="6" spans="1:9" ht="10" customHeight="1">
      <c r="A6" s="93"/>
      <c r="B6" s="175"/>
      <c r="C6" s="175"/>
      <c r="D6" s="175"/>
      <c r="E6" s="175"/>
      <c r="F6" s="175"/>
      <c r="G6" s="175"/>
      <c r="H6" s="175"/>
      <c r="I6" s="93"/>
    </row>
    <row r="7" spans="1:9" ht="20.25" customHeight="1">
      <c r="A7" s="93"/>
      <c r="B7" s="90"/>
      <c r="C7" s="176" t="s">
        <v>294</v>
      </c>
      <c r="D7" s="177"/>
      <c r="E7" s="177"/>
      <c r="F7" s="177"/>
      <c r="G7" s="178"/>
      <c r="H7" s="90"/>
      <c r="I7" s="93"/>
    </row>
    <row r="8" spans="1:9" ht="20.25" customHeight="1">
      <c r="A8" s="93"/>
      <c r="B8" s="90"/>
      <c r="C8" s="179" t="s">
        <v>147</v>
      </c>
      <c r="D8" s="180"/>
      <c r="E8" s="180"/>
      <c r="F8" s="180"/>
      <c r="G8" s="181"/>
      <c r="H8" s="90"/>
      <c r="I8" s="93"/>
    </row>
    <row r="9" spans="1:9" ht="12" customHeight="1">
      <c r="A9" s="93"/>
      <c r="B9" s="90"/>
      <c r="C9" s="182"/>
      <c r="D9" s="182"/>
      <c r="E9" s="182"/>
      <c r="F9" s="182"/>
      <c r="G9" s="182"/>
      <c r="H9" s="90"/>
      <c r="I9" s="93"/>
    </row>
    <row r="10" spans="1:9" ht="20.25" customHeight="1">
      <c r="A10" s="93"/>
      <c r="B10" s="90"/>
      <c r="C10" s="176" t="s">
        <v>295</v>
      </c>
      <c r="D10" s="177"/>
      <c r="E10" s="177"/>
      <c r="F10" s="177"/>
      <c r="G10" s="178"/>
      <c r="H10" s="90"/>
      <c r="I10" s="93"/>
    </row>
    <row r="11" spans="1:9" ht="20.25" customHeight="1">
      <c r="A11" s="93"/>
      <c r="B11" s="90"/>
      <c r="C11" s="179" t="s">
        <v>298</v>
      </c>
      <c r="D11" s="180"/>
      <c r="E11" s="180"/>
      <c r="F11" s="180"/>
      <c r="G11" s="181"/>
      <c r="H11" s="90"/>
      <c r="I11" s="93"/>
    </row>
    <row r="12" spans="1:9" ht="12" customHeight="1">
      <c r="A12" s="93"/>
      <c r="B12" s="90"/>
      <c r="C12" s="182"/>
      <c r="D12" s="182"/>
      <c r="E12" s="182"/>
      <c r="F12" s="182"/>
      <c r="G12" s="182"/>
      <c r="H12" s="90"/>
      <c r="I12" s="93"/>
    </row>
    <row r="13" spans="1:9" ht="20.25" customHeight="1">
      <c r="A13" s="93"/>
      <c r="B13" s="90"/>
      <c r="C13" s="176" t="s">
        <v>112</v>
      </c>
      <c r="D13" s="177"/>
      <c r="E13" s="177"/>
      <c r="F13" s="177"/>
      <c r="G13" s="178"/>
      <c r="H13" s="90"/>
      <c r="I13" s="93"/>
    </row>
    <row r="14" spans="1:9" ht="20.25" customHeight="1">
      <c r="A14" s="93"/>
      <c r="B14" s="90"/>
      <c r="C14" s="179" t="s">
        <v>136</v>
      </c>
      <c r="D14" s="180"/>
      <c r="E14" s="180"/>
      <c r="F14" s="180"/>
      <c r="G14" s="181"/>
      <c r="H14" s="90"/>
      <c r="I14" s="93"/>
    </row>
    <row r="15" spans="1:9" ht="12" customHeight="1">
      <c r="A15" s="93"/>
      <c r="B15" s="90"/>
      <c r="C15" s="182"/>
      <c r="D15" s="182"/>
      <c r="E15" s="182"/>
      <c r="F15" s="182"/>
      <c r="G15" s="182"/>
      <c r="H15" s="90"/>
      <c r="I15" s="93"/>
    </row>
    <row r="16" spans="1:9" ht="20.25" customHeight="1">
      <c r="A16" s="93"/>
      <c r="B16" s="90"/>
      <c r="C16" s="176" t="s">
        <v>100</v>
      </c>
      <c r="D16" s="177"/>
      <c r="E16" s="177"/>
      <c r="F16" s="177"/>
      <c r="G16" s="178"/>
      <c r="H16" s="90"/>
      <c r="I16" s="93"/>
    </row>
    <row r="17" spans="1:9" ht="20.25" customHeight="1">
      <c r="A17" s="93"/>
      <c r="B17" s="90"/>
      <c r="C17" s="179" t="s">
        <v>125</v>
      </c>
      <c r="D17" s="180"/>
      <c r="E17" s="180"/>
      <c r="F17" s="180"/>
      <c r="G17" s="181"/>
      <c r="H17" s="90"/>
      <c r="I17" s="93"/>
    </row>
    <row r="18" spans="1:9" ht="12" customHeight="1">
      <c r="A18" s="93"/>
      <c r="B18" s="90"/>
      <c r="C18" s="182"/>
      <c r="D18" s="182"/>
      <c r="E18" s="182"/>
      <c r="F18" s="182"/>
      <c r="G18" s="182"/>
      <c r="H18" s="90"/>
      <c r="I18" s="93"/>
    </row>
    <row r="19" spans="1:9" ht="20.25" customHeight="1">
      <c r="A19" s="93"/>
      <c r="B19" s="90"/>
      <c r="C19" s="176" t="s">
        <v>102</v>
      </c>
      <c r="D19" s="177"/>
      <c r="E19" s="177"/>
      <c r="F19" s="177"/>
      <c r="G19" s="178"/>
      <c r="H19" s="90"/>
      <c r="I19" s="93"/>
    </row>
    <row r="20" spans="1:9" ht="20.25" customHeight="1">
      <c r="A20" s="93"/>
      <c r="B20" s="90"/>
      <c r="C20" s="179" t="s">
        <v>293</v>
      </c>
      <c r="D20" s="180"/>
      <c r="E20" s="180"/>
      <c r="F20" s="180"/>
      <c r="G20" s="181"/>
      <c r="H20" s="90"/>
      <c r="I20" s="93"/>
    </row>
    <row r="21" spans="1:9" ht="12" customHeight="1">
      <c r="A21" s="93"/>
      <c r="B21" s="90"/>
      <c r="C21" s="182"/>
      <c r="D21" s="182"/>
      <c r="E21" s="182"/>
      <c r="F21" s="182"/>
      <c r="G21" s="182"/>
      <c r="H21" s="90"/>
      <c r="I21" s="93"/>
    </row>
    <row r="22" spans="1:9" ht="20.25" customHeight="1">
      <c r="A22" s="93"/>
      <c r="B22" s="90"/>
      <c r="C22" s="176" t="s">
        <v>103</v>
      </c>
      <c r="D22" s="177"/>
      <c r="E22" s="177"/>
      <c r="F22" s="177"/>
      <c r="G22" s="178"/>
      <c r="H22" s="90"/>
      <c r="I22" s="93"/>
    </row>
    <row r="23" spans="1:9" ht="20.25" customHeight="1">
      <c r="A23" s="93"/>
      <c r="B23" s="90"/>
      <c r="C23" s="183">
        <v>45077</v>
      </c>
      <c r="D23" s="184"/>
      <c r="E23" s="184"/>
      <c r="F23" s="184"/>
      <c r="G23" s="185"/>
      <c r="H23" s="90"/>
      <c r="I23" s="93"/>
    </row>
    <row r="24" spans="1:9" ht="10" customHeight="1">
      <c r="A24" s="93"/>
      <c r="B24" s="90"/>
      <c r="C24" s="90"/>
      <c r="D24" s="90"/>
      <c r="E24" s="90"/>
      <c r="F24" s="90"/>
      <c r="G24" s="90"/>
      <c r="H24" s="90"/>
      <c r="I24" s="93"/>
    </row>
    <row r="25" spans="1:9" ht="18" customHeight="1">
      <c r="A25" s="93"/>
      <c r="B25" s="174"/>
      <c r="C25" s="174"/>
      <c r="D25" s="174"/>
      <c r="E25" s="174"/>
      <c r="F25" s="174"/>
      <c r="G25" s="174"/>
      <c r="H25" s="174"/>
      <c r="I25" s="93"/>
    </row>
  </sheetData>
  <sheetProtection sheet="1" objects="1" scenarios="1"/>
  <mergeCells count="24">
    <mergeCell ref="B1:H1"/>
    <mergeCell ref="C7:G7"/>
    <mergeCell ref="B2:H2"/>
    <mergeCell ref="B3:H3"/>
    <mergeCell ref="C18:G18"/>
    <mergeCell ref="C11:G11"/>
    <mergeCell ref="C12:G12"/>
    <mergeCell ref="C14:G14"/>
    <mergeCell ref="C15:G15"/>
    <mergeCell ref="C13:G13"/>
    <mergeCell ref="C16:G16"/>
    <mergeCell ref="C8:G8"/>
    <mergeCell ref="C9:G9"/>
    <mergeCell ref="B4:H4"/>
    <mergeCell ref="C17:G17"/>
    <mergeCell ref="C10:G10"/>
    <mergeCell ref="B5:H5"/>
    <mergeCell ref="B6:H6"/>
    <mergeCell ref="B25:H25"/>
    <mergeCell ref="C19:G19"/>
    <mergeCell ref="C20:G20"/>
    <mergeCell ref="C21:G21"/>
    <mergeCell ref="C22:G22"/>
    <mergeCell ref="C23:G23"/>
  </mergeCells>
  <phoneticPr fontId="0" type="noConversion"/>
  <dataValidations count="2">
    <dataValidation allowBlank="1" sqref="C20:G20 C14:G14 C17:G17 C8:G8 C11:G11" xr:uid="{00000000-0002-0000-0200-000000000000}"/>
    <dataValidation type="date" allowBlank="1" showErrorMessage="1" error="Någonting är fel med det datum du angivit. Datumet fylls i på formen ÅÅÅÅ-MM-DD, exempelvis 2019-05-31 för den 31 maj 2019." sqref="C23:G23" xr:uid="{00000000-0002-0000-0200-000001000000}">
      <formula1>18264</formula1>
      <formula2>54788</formula2>
    </dataValidation>
  </dataValidations>
  <hyperlinks>
    <hyperlink ref="B1:H1" location="MM!B2" tooltip="Klicka för att gå till huvudmenyn" display="T I L L  H U V U D M E N Y N" xr:uid="{00000000-0004-0000-0200-000000000000}"/>
  </hyperlinks>
  <printOptions horizontalCentered="1"/>
  <pageMargins left="0.51181102362204722" right="0.51181102362204722" top="0.98425196850393704" bottom="0.98425196850393704" header="0.51181102362204722" footer="0.39370078740157483"/>
  <pageSetup paperSize="9" orientation="portrait" blackAndWhite="1" r:id="rId1"/>
  <headerFooter alignWithMargins="0">
    <oddFooter>&amp;L&amp;"Arial,Normal"&amp;6Copyright DokuMera
&amp;"Arial,Normal"&amp;6DM 1189 &amp;"Arial,Normal"&amp;6V 1.52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V275"/>
  <sheetViews>
    <sheetView showGridLines="0" showRowColHeaders="0" showZeros="0" tabSelected="1" showOutlineSymbols="0" defaultGridColor="0" colorId="12" workbookViewId="0">
      <pane ySplit="8" topLeftCell="A9" activePane="bottomLeft" state="frozen"/>
      <selection pane="bottomLeft" activeCell="C2" sqref="C2:J2"/>
    </sheetView>
  </sheetViews>
  <sheetFormatPr defaultColWidth="9.1796875" defaultRowHeight="10"/>
  <cols>
    <col min="1" max="1" width="3.7265625" style="2" customWidth="1"/>
    <col min="2" max="2" width="2.26953125" style="2" customWidth="1"/>
    <col min="3" max="3" width="28.26953125" style="2" customWidth="1"/>
    <col min="4" max="4" width="12.7265625" style="2" customWidth="1"/>
    <col min="5" max="5" width="8.7265625" style="2" customWidth="1"/>
    <col min="6" max="6" width="12.7265625" style="2" customWidth="1"/>
    <col min="7" max="7" width="8.7265625" style="2" customWidth="1"/>
    <col min="8" max="9" width="10.7265625" style="2" customWidth="1"/>
    <col min="10" max="10" width="12.7265625" style="2" customWidth="1"/>
    <col min="11" max="11" width="2.26953125" style="2" customWidth="1"/>
    <col min="12" max="67" width="3.7265625" style="2" customWidth="1"/>
    <col min="68" max="16384" width="9.1796875" style="2"/>
  </cols>
  <sheetData>
    <row r="1" spans="1:22" ht="18" customHeight="1">
      <c r="A1" s="116"/>
      <c r="B1" s="116"/>
      <c r="C1" s="236" t="s">
        <v>138</v>
      </c>
      <c r="D1" s="236"/>
      <c r="E1" s="236"/>
      <c r="F1" s="236"/>
      <c r="G1" s="236"/>
      <c r="H1" s="236"/>
      <c r="I1" s="236"/>
      <c r="J1" s="236"/>
      <c r="K1" s="116"/>
      <c r="L1" s="116"/>
    </row>
    <row r="2" spans="1:22" s="1" customFormat="1" ht="36" customHeight="1">
      <c r="A2" s="93"/>
      <c r="B2" s="90"/>
      <c r="C2" s="239" t="str">
        <f>DmTitleRow01ForSheetHeaders</f>
        <v>TRAKTAMENTSRÄKNING</v>
      </c>
      <c r="D2" s="240"/>
      <c r="E2" s="240"/>
      <c r="F2" s="240"/>
      <c r="G2" s="240"/>
      <c r="H2" s="240"/>
      <c r="I2" s="240"/>
      <c r="J2" s="240"/>
      <c r="K2" s="90"/>
      <c r="L2" s="93"/>
    </row>
    <row r="3" spans="1:22" s="4" customFormat="1" ht="18" customHeight="1">
      <c r="A3" s="114"/>
      <c r="B3" s="115"/>
      <c r="C3" s="188">
        <f>DmTitleRow02ForSheetHeaders</f>
        <v>2023</v>
      </c>
      <c r="D3" s="241"/>
      <c r="E3" s="241"/>
      <c r="F3" s="241"/>
      <c r="G3" s="241"/>
      <c r="H3" s="241"/>
      <c r="I3" s="241"/>
      <c r="J3" s="241"/>
      <c r="K3" s="115"/>
      <c r="L3" s="114"/>
    </row>
    <row r="4" spans="1:22" s="4" customFormat="1" ht="12" customHeight="1">
      <c r="A4" s="114"/>
      <c r="B4" s="115"/>
      <c r="C4" s="141" t="s">
        <v>294</v>
      </c>
      <c r="D4" s="244" t="s">
        <v>112</v>
      </c>
      <c r="E4" s="244"/>
      <c r="F4" s="244"/>
      <c r="G4" s="115"/>
      <c r="H4" s="248" t="s">
        <v>102</v>
      </c>
      <c r="I4" s="248"/>
      <c r="J4" s="142" t="s">
        <v>300</v>
      </c>
      <c r="K4" s="115"/>
      <c r="L4" s="114"/>
    </row>
    <row r="5" spans="1:22" s="4" customFormat="1" ht="18" customHeight="1">
      <c r="A5" s="114"/>
      <c r="B5" s="115"/>
      <c r="C5" s="140" t="str">
        <f>DmCompanyName</f>
        <v>MeraDoku AB</v>
      </c>
      <c r="D5" s="242" t="str">
        <f>DmEmployeeName</f>
        <v>Niklas Niklasson</v>
      </c>
      <c r="E5" s="242"/>
      <c r="F5" s="242"/>
      <c r="G5" s="115"/>
      <c r="H5" s="245" t="str">
        <f>BI!C20</f>
        <v>maj</v>
      </c>
      <c r="I5" s="245"/>
      <c r="J5" s="140">
        <v>1</v>
      </c>
      <c r="K5" s="115"/>
      <c r="L5" s="114"/>
    </row>
    <row r="6" spans="1:22" s="4" customFormat="1" ht="12" customHeight="1">
      <c r="A6" s="114"/>
      <c r="B6" s="115"/>
      <c r="C6" s="141" t="s">
        <v>295</v>
      </c>
      <c r="D6" s="244" t="s">
        <v>100</v>
      </c>
      <c r="E6" s="244"/>
      <c r="F6" s="244"/>
      <c r="G6" s="115"/>
      <c r="H6" s="244" t="s">
        <v>103</v>
      </c>
      <c r="I6" s="246"/>
      <c r="J6" s="246"/>
      <c r="K6" s="115"/>
      <c r="L6" s="114"/>
    </row>
    <row r="7" spans="1:22" s="4" customFormat="1" ht="18" customHeight="1">
      <c r="A7" s="114"/>
      <c r="B7" s="115"/>
      <c r="C7" s="140" t="str">
        <f>DmDepartmentName</f>
        <v>Försäljning</v>
      </c>
      <c r="D7" s="242" t="str">
        <f>DmEmployeeNumber</f>
        <v>322</v>
      </c>
      <c r="E7" s="242"/>
      <c r="F7" s="242"/>
      <c r="G7" s="115"/>
      <c r="H7" s="237">
        <f>BI!C23</f>
        <v>45077</v>
      </c>
      <c r="I7" s="238"/>
      <c r="J7" s="238"/>
      <c r="K7" s="115"/>
      <c r="L7" s="114"/>
    </row>
    <row r="8" spans="1:22" s="4" customFormat="1" ht="10" customHeight="1">
      <c r="A8" s="114"/>
      <c r="B8" s="114"/>
      <c r="C8" s="243"/>
      <c r="D8" s="243"/>
      <c r="E8" s="243"/>
      <c r="F8" s="243"/>
      <c r="G8" s="243"/>
      <c r="H8" s="243"/>
      <c r="I8" s="243"/>
      <c r="J8" s="243"/>
      <c r="K8" s="114"/>
      <c r="L8" s="114"/>
    </row>
    <row r="9" spans="1:22" s="4" customFormat="1" ht="10" customHeight="1">
      <c r="A9" s="114"/>
      <c r="B9" s="115"/>
      <c r="C9" s="247"/>
      <c r="D9" s="247"/>
      <c r="E9" s="247"/>
      <c r="F9" s="247"/>
      <c r="G9" s="247"/>
      <c r="H9" s="247"/>
      <c r="I9" s="247"/>
      <c r="J9" s="247"/>
      <c r="K9" s="115"/>
      <c r="L9" s="114"/>
    </row>
    <row r="10" spans="1:22" ht="20.25" customHeight="1">
      <c r="A10" s="116"/>
      <c r="B10" s="117"/>
      <c r="C10" s="49" t="s">
        <v>118</v>
      </c>
      <c r="D10" s="224" t="s">
        <v>122</v>
      </c>
      <c r="E10" s="225"/>
      <c r="F10" s="225"/>
      <c r="G10" s="50"/>
      <c r="H10" s="224" t="str">
        <f>IF(EXTDAT!$C$24=TRUE,"Normalbelopp reducerat till 70% !","")</f>
        <v/>
      </c>
      <c r="I10" s="228"/>
      <c r="J10" s="229"/>
      <c r="K10" s="117"/>
      <c r="L10" s="116"/>
    </row>
    <row r="11" spans="1:22" ht="14.25" customHeight="1">
      <c r="A11" s="116"/>
      <c r="B11" s="117"/>
      <c r="C11" s="51" t="s">
        <v>113</v>
      </c>
      <c r="D11" s="220" t="s">
        <v>14</v>
      </c>
      <c r="E11" s="221"/>
      <c r="F11" s="220" t="s">
        <v>16</v>
      </c>
      <c r="G11" s="221"/>
      <c r="H11" s="216" t="s">
        <v>114</v>
      </c>
      <c r="I11" s="216" t="s">
        <v>115</v>
      </c>
      <c r="J11" s="222" t="s">
        <v>116</v>
      </c>
      <c r="K11" s="117"/>
      <c r="L11" s="116"/>
    </row>
    <row r="12" spans="1:22" ht="11.25" customHeight="1">
      <c r="A12" s="116"/>
      <c r="B12" s="117"/>
      <c r="C12" s="52"/>
      <c r="D12" s="5" t="s">
        <v>13</v>
      </c>
      <c r="E12" s="5" t="s">
        <v>15</v>
      </c>
      <c r="F12" s="5" t="s">
        <v>13</v>
      </c>
      <c r="G12" s="5" t="s">
        <v>15</v>
      </c>
      <c r="H12" s="217"/>
      <c r="I12" s="217"/>
      <c r="J12" s="223"/>
      <c r="K12" s="117"/>
      <c r="L12" s="116"/>
    </row>
    <row r="13" spans="1:22" ht="20.25" customHeight="1">
      <c r="A13" s="116"/>
      <c r="B13" s="117"/>
      <c r="C13" s="212" t="s">
        <v>145</v>
      </c>
      <c r="D13" s="13">
        <v>44928</v>
      </c>
      <c r="E13" s="7">
        <v>0.33333333333333331</v>
      </c>
      <c r="F13" s="6">
        <v>44932</v>
      </c>
      <c r="G13" s="8">
        <v>0.66666666666666663</v>
      </c>
      <c r="H13" s="15">
        <f>ValidAllowanceDays11</f>
        <v>4.5</v>
      </c>
      <c r="I13" s="40">
        <f>IF(D13&gt;0,IF(EXTDAT!$C$24=FALSE,EXTDAT!$D$301,EXTDAT!$E$301),0)</f>
        <v>260</v>
      </c>
      <c r="J13" s="57">
        <f>IF(F13&gt;0,IF(EXTDAT!$C$24=FALSE,H13*I13,FLOOR(H13,1)*I13),0)</f>
        <v>1170</v>
      </c>
      <c r="K13" s="117"/>
      <c r="L13" s="122"/>
      <c r="M13"/>
      <c r="N13"/>
      <c r="O13"/>
      <c r="P13"/>
      <c r="Q13"/>
      <c r="R13"/>
      <c r="S13"/>
      <c r="T13"/>
      <c r="U13"/>
    </row>
    <row r="14" spans="1:22" ht="26.25" customHeight="1">
      <c r="A14" s="116"/>
      <c r="B14" s="117"/>
      <c r="C14" s="212"/>
      <c r="D14" s="218" t="s">
        <v>279</v>
      </c>
      <c r="E14" s="219"/>
      <c r="F14" s="219"/>
      <c r="G14" s="21"/>
      <c r="H14" s="85">
        <f>IF(EXTDAT!C31=TRUE,IF(Accomodations11&gt;0,Accomodations11,""),"")</f>
        <v>4</v>
      </c>
      <c r="I14" s="82"/>
      <c r="J14" s="83">
        <f>EXTDAT!$E$31</f>
        <v>520</v>
      </c>
      <c r="K14" s="117"/>
      <c r="L14" s="122"/>
      <c r="M14"/>
      <c r="N14"/>
      <c r="O14"/>
      <c r="P14"/>
      <c r="Q14"/>
      <c r="R14"/>
      <c r="S14"/>
      <c r="T14"/>
      <c r="U14"/>
    </row>
    <row r="15" spans="1:22" ht="26.25" customHeight="1">
      <c r="A15" s="116"/>
      <c r="B15" s="117"/>
      <c r="C15" s="212"/>
      <c r="D15" s="218" t="s">
        <v>174</v>
      </c>
      <c r="E15" s="219"/>
      <c r="F15" s="219"/>
      <c r="G15" s="21"/>
      <c r="H15" s="74" t="str">
        <f>IF(EXTDAT!$E$24=TRUE,"Måltider
heldagar","")</f>
        <v>Måltider
heldagar</v>
      </c>
      <c r="I15" s="74" t="str">
        <f>IF(D13&lt;&gt;"",IF(EXTDAT!$E$24=TRUE,IF(OR(DepartureTime11&gt;=DepartureTimeThresholdHalf,ArrivalTime11&lt;=ArrivalTimeThresholdHalf),"Måltider
halvdagar","Lämnas
tom"),""),"")</f>
        <v>Måltider
halvdagar</v>
      </c>
      <c r="J15" s="75" t="str">
        <f>IF(EXTDAT!$E$24=TRUE,"Minskning
för kost","")</f>
        <v>Minskning
för kost</v>
      </c>
      <c r="K15" s="117"/>
      <c r="L15" s="122"/>
      <c r="M15"/>
      <c r="N15"/>
      <c r="O15"/>
      <c r="P15"/>
      <c r="Q15"/>
      <c r="R15"/>
      <c r="S15"/>
      <c r="T15"/>
      <c r="U15"/>
      <c r="V15"/>
    </row>
    <row r="16" spans="1:22" ht="20.25" customHeight="1">
      <c r="A16" s="116"/>
      <c r="B16" s="117"/>
      <c r="C16" s="249"/>
      <c r="D16" s="233" t="str">
        <f>IF(EXTDAT!$E$24=TRUE,"Antal erhållna fria frukostar under vistelsen","")</f>
        <v>Antal erhållna fria frukostar under vistelsen</v>
      </c>
      <c r="E16" s="234"/>
      <c r="F16" s="234"/>
      <c r="G16" s="235"/>
      <c r="H16" s="10">
        <v>1</v>
      </c>
      <c r="I16" s="42">
        <v>1</v>
      </c>
      <c r="J16" s="53">
        <f>IF(J13&gt;0,IF(EXTDAT!$E$24=FALSE,0,IF(EXTDAT!$C$24=FALSE,IF(OR(DepartureTime11&gt;=DepartureTimeThresholdHalf,ArrivalTime11&lt;=ArrivalTimeThresholdHalf),(ROUND(H16*Breakfast+I16*BreakfastRedHalf,0)*-1),(ROUND(H16*Breakfast,0)*-1)),(ROUND(H16*BreakfastRed,0)*-1))),0)</f>
        <v>-78</v>
      </c>
      <c r="K16" s="117"/>
      <c r="L16" s="122"/>
      <c r="M16"/>
      <c r="N16"/>
      <c r="O16"/>
      <c r="P16"/>
      <c r="Q16"/>
      <c r="R16"/>
      <c r="S16"/>
      <c r="T16"/>
      <c r="U16"/>
      <c r="V16"/>
    </row>
    <row r="17" spans="1:21" ht="20.25" customHeight="1">
      <c r="A17" s="116"/>
      <c r="B17" s="117"/>
      <c r="C17" s="58"/>
      <c r="D17" s="233" t="str">
        <f>IF(EXTDAT!$E$24=TRUE,"Antal erhållna fria luncher under vistelsen","")</f>
        <v>Antal erhållna fria luncher under vistelsen</v>
      </c>
      <c r="E17" s="234"/>
      <c r="F17" s="234"/>
      <c r="G17" s="235"/>
      <c r="H17" s="10">
        <v>2</v>
      </c>
      <c r="I17" s="42">
        <v>1</v>
      </c>
      <c r="J17" s="53">
        <f>IF(J13&gt;0,IF(EXTDAT!$E$24=FALSE,0,IF(EXTDAT!$C$24=FALSE,IF(OR(DepartureTime11&gt;=DepartureTimeThresholdHalf,ArrivalTime11&lt;=ArrivalTimeThresholdHalf),(ROUND(H17*Lunch+I17*LunchRedHalf,0)*-1),(ROUND(H17*Lunch,0)*-1)),(ROUND(H17*LunchRed,0)*-1))),0)</f>
        <v>-228</v>
      </c>
      <c r="K17" s="117"/>
      <c r="L17" s="116"/>
    </row>
    <row r="18" spans="1:21" ht="20.25" customHeight="1">
      <c r="A18" s="116"/>
      <c r="B18" s="117"/>
      <c r="C18" s="54"/>
      <c r="D18" s="230" t="str">
        <f>IF(EXTDAT!$E$24=TRUE,"Antal erhållna fria middagar under vistelsen","")</f>
        <v>Antal erhållna fria middagar under vistelsen</v>
      </c>
      <c r="E18" s="231"/>
      <c r="F18" s="231"/>
      <c r="G18" s="232"/>
      <c r="H18" s="55">
        <v>2</v>
      </c>
      <c r="I18" s="59">
        <v>1</v>
      </c>
      <c r="J18" s="56">
        <f>IF(J13&gt;0,IF(EXTDAT!$E$24=FALSE,0,IF(EXTDAT!$C$24=FALSE,IF(OR(DepartureTime11&gt;=DepartureTimeThresholdHalf,ArrivalTime11&lt;=ArrivalTimeThresholdHalf),(ROUND(H18*Dinner+I18*DinnerRedHalf,0)*-1),(ROUND(H18*Dinner,0)*-1)),(ROUND(H18*DinnerRed,0)*-1))),0)</f>
        <v>-228</v>
      </c>
      <c r="K18" s="117"/>
      <c r="L18" s="116"/>
    </row>
    <row r="19" spans="1:21" ht="20.25" customHeight="1">
      <c r="A19" s="116"/>
      <c r="B19" s="117"/>
      <c r="C19" s="214" t="s">
        <v>124</v>
      </c>
      <c r="D19" s="215"/>
      <c r="E19" s="215"/>
      <c r="F19" s="215"/>
      <c r="G19" s="215"/>
      <c r="H19" s="215"/>
      <c r="I19" s="215"/>
      <c r="J19" s="48">
        <f>J13+J14+J16+J17+J18</f>
        <v>1156</v>
      </c>
      <c r="K19" s="117"/>
      <c r="L19" s="116"/>
    </row>
    <row r="20" spans="1:21" ht="10" customHeight="1">
      <c r="A20" s="116"/>
      <c r="B20" s="117"/>
      <c r="C20" s="191"/>
      <c r="D20" s="191"/>
      <c r="E20" s="191"/>
      <c r="F20" s="191"/>
      <c r="G20" s="191"/>
      <c r="H20" s="191"/>
      <c r="I20" s="191"/>
      <c r="J20" s="191"/>
      <c r="K20" s="117"/>
      <c r="L20" s="116"/>
    </row>
    <row r="21" spans="1:21" ht="20.25" customHeight="1">
      <c r="A21" s="116"/>
      <c r="B21" s="117"/>
      <c r="C21" s="49" t="s">
        <v>119</v>
      </c>
      <c r="D21" s="224" t="str">
        <f>D10</f>
        <v>Bocka i om resan avser tid efter tre månader</v>
      </c>
      <c r="E21" s="225"/>
      <c r="F21" s="225"/>
      <c r="G21" s="50"/>
      <c r="H21" s="224" t="str">
        <f>IF(EXTDAT!$C$25=TRUE,"Normalbelopp reducerat till 70% !","")</f>
        <v/>
      </c>
      <c r="I21" s="228"/>
      <c r="J21" s="229"/>
      <c r="K21" s="117"/>
      <c r="L21" s="116"/>
    </row>
    <row r="22" spans="1:21" ht="14.25" customHeight="1">
      <c r="A22" s="116"/>
      <c r="B22" s="117"/>
      <c r="C22" s="51" t="s">
        <v>113</v>
      </c>
      <c r="D22" s="220" t="s">
        <v>14</v>
      </c>
      <c r="E22" s="221"/>
      <c r="F22" s="220" t="s">
        <v>16</v>
      </c>
      <c r="G22" s="221"/>
      <c r="H22" s="216" t="s">
        <v>114</v>
      </c>
      <c r="I22" s="216" t="s">
        <v>115</v>
      </c>
      <c r="J22" s="222" t="s">
        <v>116</v>
      </c>
      <c r="K22" s="117"/>
      <c r="L22" s="116"/>
    </row>
    <row r="23" spans="1:21" ht="11.25" customHeight="1">
      <c r="A23" s="116"/>
      <c r="B23" s="117"/>
      <c r="C23" s="52"/>
      <c r="D23" s="5" t="s">
        <v>13</v>
      </c>
      <c r="E23" s="5" t="s">
        <v>15</v>
      </c>
      <c r="F23" s="5" t="s">
        <v>13</v>
      </c>
      <c r="G23" s="5" t="s">
        <v>15</v>
      </c>
      <c r="H23" s="217"/>
      <c r="I23" s="217"/>
      <c r="J23" s="223"/>
      <c r="K23" s="117"/>
      <c r="L23" s="116"/>
    </row>
    <row r="24" spans="1:21" ht="20.25" customHeight="1">
      <c r="A24" s="116"/>
      <c r="B24" s="117"/>
      <c r="C24" s="212"/>
      <c r="D24" s="13"/>
      <c r="E24" s="7"/>
      <c r="F24" s="6"/>
      <c r="G24" s="8"/>
      <c r="H24" s="15">
        <f>IF(D24&lt;&gt;"",ValidAllowanceDays12,0)</f>
        <v>0</v>
      </c>
      <c r="I24" s="40">
        <f>IF(D24&gt;0,IF(EXTDAT!$C$25=FALSE,EXTDAT!$D$301,EXTDAT!$E$301),0)</f>
        <v>0</v>
      </c>
      <c r="J24" s="57">
        <f>IF(F24&gt;0,IF(EXTDAT!$C$25=FALSE,H24*I24,FLOOR(H24,1)*I24),0)</f>
        <v>0</v>
      </c>
      <c r="K24" s="117"/>
      <c r="L24" s="116"/>
    </row>
    <row r="25" spans="1:21" ht="26.25" customHeight="1">
      <c r="A25" s="116"/>
      <c r="B25" s="117"/>
      <c r="C25" s="212"/>
      <c r="D25" s="218" t="s">
        <v>279</v>
      </c>
      <c r="E25" s="219"/>
      <c r="F25" s="219"/>
      <c r="G25" s="21"/>
      <c r="H25" s="85" t="str">
        <f>IF(EXTDAT!C32=TRUE,IF(Accomodations12&gt;0,Accomodations12,""),"")</f>
        <v/>
      </c>
      <c r="I25" s="82"/>
      <c r="J25" s="83">
        <f>EXTDAT!E32</f>
        <v>0</v>
      </c>
      <c r="K25" s="117"/>
      <c r="L25" s="122"/>
      <c r="M25"/>
      <c r="N25"/>
      <c r="O25"/>
      <c r="P25"/>
      <c r="Q25"/>
      <c r="R25"/>
      <c r="S25"/>
      <c r="T25"/>
      <c r="U25"/>
    </row>
    <row r="26" spans="1:21" ht="26.25" customHeight="1">
      <c r="A26" s="116"/>
      <c r="B26" s="117"/>
      <c r="C26" s="212"/>
      <c r="D26" s="218" t="str">
        <f>D15</f>
        <v>Bocka i om arbetsgivaren bekostat måltidskostnader under tjänsteresan</v>
      </c>
      <c r="E26" s="219"/>
      <c r="F26" s="219"/>
      <c r="G26" s="21"/>
      <c r="H26" s="74" t="str">
        <f>IF(EXTDAT!$E$25=TRUE,"Måltider
heldagar","")</f>
        <v/>
      </c>
      <c r="I26" s="74" t="str">
        <f>IF(D24&lt;&gt;"",IF(EXTDAT!$E$25=TRUE,IF(OR(DepartureTime12&gt;=DepartureTimeThresholdHalf,ArrivalTime12&lt;=ArrivalTimeThresholdHalf),"Måltider
halvdagar","Lämnas
tom"),""),"")</f>
        <v/>
      </c>
      <c r="J26" s="75" t="str">
        <f>IF(EXTDAT!$E$25=TRUE,"Minskning
för kost","")</f>
        <v/>
      </c>
      <c r="K26" s="117"/>
      <c r="L26" s="116"/>
    </row>
    <row r="27" spans="1:21" ht="20.25" customHeight="1">
      <c r="A27" s="116"/>
      <c r="B27" s="117"/>
      <c r="C27" s="213"/>
      <c r="D27" s="233" t="str">
        <f>IF(EXTDAT!$E$25=TRUE,"Antal erhållna fria frukostar under vistelsen","")</f>
        <v/>
      </c>
      <c r="E27" s="234"/>
      <c r="F27" s="234"/>
      <c r="G27" s="235"/>
      <c r="H27" s="10"/>
      <c r="I27" s="42"/>
      <c r="J27" s="53">
        <f>IF(J24&gt;0,IF(EXTDAT!$E$25=FALSE,0,IF(EXTDAT!$C$25=FALSE,IF(OR(DepartureTime12&gt;=DepartureTimeThresholdHalf,ArrivalTime12&lt;=ArrivalTimeThresholdHalf),(ROUND(H27*Breakfast+I27*BreakfastRedHalf,0)*-1),(ROUND(H27*Breakfast,0)*-1)),(ROUND(H27*BreakfastRed,0)*-1))),0)</f>
        <v>0</v>
      </c>
      <c r="K27" s="117"/>
      <c r="L27" s="116"/>
    </row>
    <row r="28" spans="1:21" ht="20.25" customHeight="1">
      <c r="A28" s="116"/>
      <c r="B28" s="117"/>
      <c r="C28" s="51"/>
      <c r="D28" s="233" t="str">
        <f>IF(EXTDAT!$E$25=TRUE,"Antal erhållna fria luncher under vistelsen","")</f>
        <v/>
      </c>
      <c r="E28" s="234"/>
      <c r="F28" s="234"/>
      <c r="G28" s="235"/>
      <c r="H28" s="10"/>
      <c r="I28" s="42"/>
      <c r="J28" s="53">
        <f>IF(J24&gt;0,IF(EXTDAT!$E$25=FALSE,0,IF(EXTDAT!$C$25=FALSE,IF(OR(DepartureTime12&gt;=DepartureTimeThresholdHalf,ArrivalTime12&lt;=ArrivalTimeThresholdHalf),(ROUND(H28*Lunch+I28*LunchRedHalf,0)*-1),(ROUND(H28*Lunch,0)*-1)),(ROUND(H28*LunchRed,0)*-1))),0)</f>
        <v>0</v>
      </c>
      <c r="K28" s="117"/>
      <c r="L28" s="116"/>
    </row>
    <row r="29" spans="1:21" ht="20.25" customHeight="1">
      <c r="A29" s="116"/>
      <c r="B29" s="117"/>
      <c r="C29" s="54"/>
      <c r="D29" s="230" t="str">
        <f>IF(EXTDAT!$E$25=TRUE,"Antal erhållna fria middagar under vistelsen","")</f>
        <v/>
      </c>
      <c r="E29" s="231"/>
      <c r="F29" s="231"/>
      <c r="G29" s="232"/>
      <c r="H29" s="55"/>
      <c r="I29" s="59"/>
      <c r="J29" s="56">
        <f>IF(J24&gt;0,IF(EXTDAT!$E$25=FALSE,0,IF(EXTDAT!$C$25=FALSE,IF(OR(DepartureTime12&gt;=DepartureTimeThresholdHalf,ArrivalTime12&lt;=ArrivalTimeThresholdHalf),(ROUND(H29*Dinner+I29*DinnerRedHalf,0)*-1),(ROUND(H29*Dinner,0)*-1)),(ROUND(H29*DinnerRed,0)*-1))),0)</f>
        <v>0</v>
      </c>
      <c r="K29" s="117"/>
      <c r="L29" s="116"/>
    </row>
    <row r="30" spans="1:21" ht="20.25" customHeight="1">
      <c r="A30" s="116"/>
      <c r="B30" s="117"/>
      <c r="C30" s="214" t="s">
        <v>124</v>
      </c>
      <c r="D30" s="215"/>
      <c r="E30" s="215"/>
      <c r="F30" s="215"/>
      <c r="G30" s="215"/>
      <c r="H30" s="215"/>
      <c r="I30" s="215"/>
      <c r="J30" s="48">
        <f>J24+J25+J27+J28+J29</f>
        <v>0</v>
      </c>
      <c r="K30" s="117"/>
      <c r="L30" s="116"/>
    </row>
    <row r="31" spans="1:21" ht="10" customHeight="1">
      <c r="A31" s="116"/>
      <c r="B31" s="117"/>
      <c r="C31" s="191"/>
      <c r="D31" s="191"/>
      <c r="E31" s="191"/>
      <c r="F31" s="191"/>
      <c r="G31" s="191"/>
      <c r="H31" s="191"/>
      <c r="I31" s="191"/>
      <c r="J31" s="191"/>
      <c r="K31" s="117"/>
      <c r="L31" s="116"/>
    </row>
    <row r="32" spans="1:21" ht="20.25" customHeight="1">
      <c r="A32" s="116"/>
      <c r="B32" s="117"/>
      <c r="C32" s="49" t="s">
        <v>120</v>
      </c>
      <c r="D32" s="224" t="str">
        <f>D10</f>
        <v>Bocka i om resan avser tid efter tre månader</v>
      </c>
      <c r="E32" s="225"/>
      <c r="F32" s="225"/>
      <c r="G32" s="50"/>
      <c r="H32" s="224" t="str">
        <f>IF(EXTDAT!$C$26=TRUE,"Normalbelopp reducerat till 70% !","")</f>
        <v/>
      </c>
      <c r="I32" s="228"/>
      <c r="J32" s="229"/>
      <c r="K32" s="117"/>
      <c r="L32" s="116"/>
    </row>
    <row r="33" spans="1:21" ht="14.25" customHeight="1">
      <c r="A33" s="116"/>
      <c r="B33" s="117"/>
      <c r="C33" s="51" t="s">
        <v>113</v>
      </c>
      <c r="D33" s="220" t="s">
        <v>14</v>
      </c>
      <c r="E33" s="221"/>
      <c r="F33" s="220" t="s">
        <v>16</v>
      </c>
      <c r="G33" s="221"/>
      <c r="H33" s="216" t="s">
        <v>114</v>
      </c>
      <c r="I33" s="216" t="s">
        <v>115</v>
      </c>
      <c r="J33" s="222" t="s">
        <v>116</v>
      </c>
      <c r="K33" s="117"/>
      <c r="L33" s="116"/>
    </row>
    <row r="34" spans="1:21" ht="11.25" customHeight="1">
      <c r="A34" s="116"/>
      <c r="B34" s="117"/>
      <c r="C34" s="52"/>
      <c r="D34" s="5" t="s">
        <v>13</v>
      </c>
      <c r="E34" s="5" t="s">
        <v>15</v>
      </c>
      <c r="F34" s="5" t="s">
        <v>13</v>
      </c>
      <c r="G34" s="5" t="s">
        <v>15</v>
      </c>
      <c r="H34" s="217"/>
      <c r="I34" s="217"/>
      <c r="J34" s="223"/>
      <c r="K34" s="117"/>
      <c r="L34" s="116"/>
    </row>
    <row r="35" spans="1:21" ht="20.25" customHeight="1">
      <c r="A35" s="116"/>
      <c r="B35" s="117"/>
      <c r="C35" s="212"/>
      <c r="D35" s="13"/>
      <c r="E35" s="7"/>
      <c r="F35" s="6"/>
      <c r="G35" s="8"/>
      <c r="H35" s="15">
        <f>IF(D35&lt;&gt;"",ValidAllowanceDays13,0)</f>
        <v>0</v>
      </c>
      <c r="I35" s="40">
        <f>IF(D35&gt;0,IF(EXTDAT!$C$26=FALSE,EXTDAT!$D$301,EXTDAT!$E$301),0)</f>
        <v>0</v>
      </c>
      <c r="J35" s="57">
        <f>IF(F35&gt;0,IF(EXTDAT!$C$26=FALSE,H35*I35,FLOOR(H35,1)*I35),0)</f>
        <v>0</v>
      </c>
      <c r="K35" s="117"/>
      <c r="L35" s="116"/>
    </row>
    <row r="36" spans="1:21" ht="26.25" customHeight="1">
      <c r="A36" s="116"/>
      <c r="B36" s="117"/>
      <c r="C36" s="212"/>
      <c r="D36" s="218" t="s">
        <v>279</v>
      </c>
      <c r="E36" s="219"/>
      <c r="F36" s="219"/>
      <c r="G36" s="21"/>
      <c r="H36" s="85" t="str">
        <f>IF(EXTDAT!C33=TRUE,IF(Accomodations13&gt;0,Accomodations13,""),"")</f>
        <v/>
      </c>
      <c r="I36" s="82"/>
      <c r="J36" s="83">
        <f>EXTDAT!E33</f>
        <v>0</v>
      </c>
      <c r="K36" s="117"/>
      <c r="L36" s="122"/>
      <c r="M36"/>
      <c r="N36"/>
      <c r="O36"/>
      <c r="P36"/>
      <c r="Q36"/>
      <c r="R36"/>
      <c r="S36"/>
      <c r="T36"/>
      <c r="U36"/>
    </row>
    <row r="37" spans="1:21" ht="26.25" customHeight="1">
      <c r="A37" s="116"/>
      <c r="B37" s="117"/>
      <c r="C37" s="212"/>
      <c r="D37" s="218" t="str">
        <f>D15</f>
        <v>Bocka i om arbetsgivaren bekostat måltidskostnader under tjänsteresan</v>
      </c>
      <c r="E37" s="219"/>
      <c r="F37" s="219"/>
      <c r="G37" s="21"/>
      <c r="H37" s="74" t="str">
        <f>IF(EXTDAT!$E$26=TRUE,"Måltider
heldagar","")</f>
        <v/>
      </c>
      <c r="I37" s="74" t="str">
        <f>IF(D35&lt;&gt;"",IF(EXTDAT!$E$26=TRUE,IF(OR(DepartureTime13&gt;=DepartureTimeThresholdHalf,ArrivalTime13&lt;=ArrivalTimeThresholdHalf),"Måltider
halvdagar","Lämnas
tom"),""),"")</f>
        <v/>
      </c>
      <c r="J37" s="75" t="str">
        <f>IF(EXTDAT!$E$26=TRUE,"Minskning
för kost","")</f>
        <v/>
      </c>
      <c r="K37" s="117"/>
      <c r="L37" s="116"/>
    </row>
    <row r="38" spans="1:21" ht="20.25" customHeight="1">
      <c r="A38" s="116"/>
      <c r="B38" s="117"/>
      <c r="C38" s="213"/>
      <c r="D38" s="233" t="str">
        <f>IF(EXTDAT!$E$26=TRUE,"Antal erhållna fria frukostar under vistelsen","")</f>
        <v/>
      </c>
      <c r="E38" s="234"/>
      <c r="F38" s="234"/>
      <c r="G38" s="235"/>
      <c r="H38" s="10"/>
      <c r="I38" s="42"/>
      <c r="J38" s="53">
        <f>IF(J35&gt;0,IF(EXTDAT!$E$26=FALSE,0,IF(EXTDAT!$C$26=FALSE,IF(OR(DepartureTime13&gt;=DepartureTimeThresholdHalf,ArrivalTime13&lt;=ArrivalTimeThresholdHalf),(ROUND(H38*Breakfast+I38*BreakfastRedHalf,0)*-1),(ROUND(H38*Breakfast,0)*-1)),(ROUND(H38*BreakfastRed,0)*-1))),0)</f>
        <v>0</v>
      </c>
      <c r="K38" s="117"/>
      <c r="L38" s="116"/>
    </row>
    <row r="39" spans="1:21" ht="20.25" customHeight="1">
      <c r="A39" s="116"/>
      <c r="B39" s="117"/>
      <c r="C39" s="51"/>
      <c r="D39" s="233" t="str">
        <f>IF(EXTDAT!$E$26=TRUE,"Antal erhållna fria luncher under vistelsen","")</f>
        <v/>
      </c>
      <c r="E39" s="234"/>
      <c r="F39" s="234"/>
      <c r="G39" s="235"/>
      <c r="H39" s="10"/>
      <c r="I39" s="42"/>
      <c r="J39" s="53">
        <f>IF(J35&gt;0,IF(EXTDAT!$E$26=FALSE,0,IF(EXTDAT!$C$26=FALSE,IF(OR(DepartureTime13&gt;=DepartureTimeThresholdHalf,ArrivalTime13&lt;=ArrivalTimeThresholdHalf),(ROUND(H39*Lunch+I39*LunchRedHalf,0)*-1),(ROUND(H39*Lunch,0)*-1)),(ROUND(H39*LunchRed,0)*-1))),0)</f>
        <v>0</v>
      </c>
      <c r="K39" s="117"/>
      <c r="L39" s="116"/>
    </row>
    <row r="40" spans="1:21" ht="20.25" customHeight="1">
      <c r="A40" s="116"/>
      <c r="B40" s="117"/>
      <c r="C40" s="54"/>
      <c r="D40" s="230" t="str">
        <f>IF(EXTDAT!$E$26=TRUE,"Antal erhållna fria middagar under vistelsen","")</f>
        <v/>
      </c>
      <c r="E40" s="231"/>
      <c r="F40" s="231"/>
      <c r="G40" s="232"/>
      <c r="H40" s="55"/>
      <c r="I40" s="59"/>
      <c r="J40" s="56">
        <f>IF(J35&gt;0,IF(EXTDAT!$E$26=FALSE,0,IF(EXTDAT!$C$26=FALSE,IF(OR(DepartureTime13&gt;=DepartureTimeThresholdHalf,ArrivalTime13&lt;=ArrivalTimeThresholdHalf),(ROUND(H40*Dinner+I40*DinnerRedHalf,0)*-1),(ROUND(H40*Dinner,0)*-1)),(ROUND(H40*DinnerRed,0)*-1))),0)</f>
        <v>0</v>
      </c>
      <c r="K40" s="117"/>
      <c r="L40" s="116"/>
    </row>
    <row r="41" spans="1:21" ht="20.25" customHeight="1">
      <c r="A41" s="116"/>
      <c r="B41" s="117"/>
      <c r="C41" s="214" t="s">
        <v>124</v>
      </c>
      <c r="D41" s="215"/>
      <c r="E41" s="215"/>
      <c r="F41" s="215"/>
      <c r="G41" s="215"/>
      <c r="H41" s="215"/>
      <c r="I41" s="215"/>
      <c r="J41" s="48">
        <f>J35+J36+J38+J39+J40</f>
        <v>0</v>
      </c>
      <c r="K41" s="117"/>
      <c r="L41" s="116"/>
    </row>
    <row r="42" spans="1:21" ht="10" customHeight="1">
      <c r="A42" s="116"/>
      <c r="B42" s="117"/>
      <c r="C42" s="191"/>
      <c r="D42" s="191"/>
      <c r="E42" s="191"/>
      <c r="F42" s="191"/>
      <c r="G42" s="191"/>
      <c r="H42" s="191"/>
      <c r="I42" s="191"/>
      <c r="J42" s="191"/>
      <c r="K42" s="117"/>
      <c r="L42" s="116"/>
    </row>
    <row r="43" spans="1:21" ht="20.25" customHeight="1">
      <c r="A43" s="116"/>
      <c r="B43" s="117"/>
      <c r="C43" s="47" t="s">
        <v>121</v>
      </c>
      <c r="D43" s="210" t="str">
        <f>D10</f>
        <v>Bocka i om resan avser tid efter tre månader</v>
      </c>
      <c r="E43" s="211"/>
      <c r="F43" s="211"/>
      <c r="G43" s="21"/>
      <c r="H43" s="210" t="str">
        <f>IF(EXTDAT!$C$27=TRUE,"Normalbelopp reducerat till 70% !","")</f>
        <v/>
      </c>
      <c r="I43" s="226"/>
      <c r="J43" s="227"/>
      <c r="K43" s="117"/>
      <c r="L43" s="116"/>
    </row>
    <row r="44" spans="1:21" ht="14.25" customHeight="1">
      <c r="A44" s="116"/>
      <c r="B44" s="117"/>
      <c r="C44" s="60" t="s">
        <v>113</v>
      </c>
      <c r="D44" s="192" t="s">
        <v>14</v>
      </c>
      <c r="E44" s="193"/>
      <c r="F44" s="192" t="s">
        <v>16</v>
      </c>
      <c r="G44" s="193"/>
      <c r="H44" s="194" t="s">
        <v>114</v>
      </c>
      <c r="I44" s="194" t="s">
        <v>115</v>
      </c>
      <c r="J44" s="194" t="s">
        <v>116</v>
      </c>
      <c r="K44" s="117"/>
      <c r="L44" s="116"/>
    </row>
    <row r="45" spans="1:21" ht="11.25" customHeight="1">
      <c r="A45" s="116"/>
      <c r="B45" s="117"/>
      <c r="C45" s="14"/>
      <c r="D45" s="61" t="s">
        <v>13</v>
      </c>
      <c r="E45" s="61" t="s">
        <v>15</v>
      </c>
      <c r="F45" s="61" t="s">
        <v>13</v>
      </c>
      <c r="G45" s="61" t="s">
        <v>15</v>
      </c>
      <c r="H45" s="195"/>
      <c r="I45" s="195"/>
      <c r="J45" s="195"/>
      <c r="K45" s="117"/>
      <c r="L45" s="116"/>
    </row>
    <row r="46" spans="1:21" ht="20.25" customHeight="1">
      <c r="A46" s="116"/>
      <c r="B46" s="117"/>
      <c r="C46" s="203"/>
      <c r="D46" s="13"/>
      <c r="E46" s="7"/>
      <c r="F46" s="6"/>
      <c r="G46" s="8"/>
      <c r="H46" s="15">
        <f>IF(D46&lt;&gt;"",ValidAllowanceDays14,0)</f>
        <v>0</v>
      </c>
      <c r="I46" s="40">
        <f>IF(C51&lt;&gt;"",IF(EXTDAT!$C$27=FALSE,(VLOOKUP(C51,EXTDAT!$C$130:$E$300,2,FALSE)),(VLOOKUP(C51,EXTDAT!$C$130:$E$300,3,FALSE))),0)</f>
        <v>0</v>
      </c>
      <c r="J46" s="41">
        <f>IF(F46&gt;0,H46*I46,0)</f>
        <v>0</v>
      </c>
      <c r="K46" s="117"/>
      <c r="L46" s="116"/>
    </row>
    <row r="47" spans="1:21" ht="26.25" customHeight="1">
      <c r="A47" s="116"/>
      <c r="B47" s="117"/>
      <c r="C47" s="203"/>
      <c r="D47" s="199" t="s">
        <v>279</v>
      </c>
      <c r="E47" s="200"/>
      <c r="F47" s="200"/>
      <c r="G47" s="21"/>
      <c r="H47" s="89" t="str">
        <f>IF(EXTDAT!C34=TRUE,IF(Accomodations14&gt;0,Accomodations14,""),"")</f>
        <v/>
      </c>
      <c r="I47" s="82"/>
      <c r="J47" s="87">
        <f>EXTDAT!E34</f>
        <v>0</v>
      </c>
      <c r="K47" s="117"/>
      <c r="L47" s="122"/>
      <c r="M47"/>
      <c r="N47"/>
      <c r="O47"/>
      <c r="P47"/>
      <c r="Q47"/>
      <c r="R47"/>
      <c r="S47"/>
      <c r="T47"/>
      <c r="U47"/>
    </row>
    <row r="48" spans="1:21" ht="26.25" customHeight="1">
      <c r="A48" s="116"/>
      <c r="B48" s="117"/>
      <c r="C48" s="203"/>
      <c r="D48" s="199" t="str">
        <f>D15</f>
        <v>Bocka i om arbetsgivaren bekostat måltidskostnader under tjänsteresan</v>
      </c>
      <c r="E48" s="200"/>
      <c r="F48" s="200"/>
      <c r="G48" s="21"/>
      <c r="H48" s="76" t="str">
        <f>IF(EXTDAT!$E$27=TRUE,"Måltider","")</f>
        <v/>
      </c>
      <c r="I48" s="74"/>
      <c r="J48" s="86" t="str">
        <f>IF(EXTDAT!$E$27=TRUE,"Minskning
för kost","")</f>
        <v/>
      </c>
      <c r="K48" s="117"/>
      <c r="L48" s="116"/>
    </row>
    <row r="49" spans="1:21" ht="20.25" customHeight="1">
      <c r="A49" s="116"/>
      <c r="B49" s="117"/>
      <c r="C49" s="204"/>
      <c r="D49" s="205" t="str">
        <f>IF(EXTDAT!$E$27=TRUE,"Antal erhållna fria frukostar under vistelsen","")</f>
        <v/>
      </c>
      <c r="E49" s="206"/>
      <c r="F49" s="206"/>
      <c r="G49" s="207"/>
      <c r="H49" s="10"/>
      <c r="I49" s="208"/>
      <c r="J49" s="11">
        <f>IF(J46&gt;0,IF(EXTDAT!$E$27=FALSE,0,(H49*ROUND($I$46*EXTDAT!D308,0))*-1),0)</f>
        <v>0</v>
      </c>
      <c r="K49" s="117"/>
      <c r="L49" s="116"/>
    </row>
    <row r="50" spans="1:21" ht="20.25" customHeight="1">
      <c r="A50" s="116"/>
      <c r="B50" s="117"/>
      <c r="C50" s="60" t="s">
        <v>98</v>
      </c>
      <c r="D50" s="205" t="str">
        <f>IF(EXTDAT!$E$27=TRUE,"Antal erhållna fria luncher under vistelsen","")</f>
        <v/>
      </c>
      <c r="E50" s="206"/>
      <c r="F50" s="206"/>
      <c r="G50" s="207"/>
      <c r="H50" s="10"/>
      <c r="I50" s="208"/>
      <c r="J50" s="11">
        <f>IF(J46&gt;0,IF(EXTDAT!$E$27=FALSE,0,(H50*ROUND($I$46*EXTDAT!D309,0))*-1),0)</f>
        <v>0</v>
      </c>
      <c r="K50" s="117"/>
      <c r="L50" s="116"/>
    </row>
    <row r="51" spans="1:21" ht="20.25" customHeight="1">
      <c r="A51" s="116"/>
      <c r="B51" s="117"/>
      <c r="C51" s="16" t="s">
        <v>117</v>
      </c>
      <c r="D51" s="205" t="str">
        <f>IF(EXTDAT!$E$27=TRUE,"Antal erhållna fria middagar under vistelsen","")</f>
        <v/>
      </c>
      <c r="E51" s="206"/>
      <c r="F51" s="206"/>
      <c r="G51" s="207"/>
      <c r="H51" s="12"/>
      <c r="I51" s="209"/>
      <c r="J51" s="11">
        <f>IF(J46&gt;0,IF(EXTDAT!$E$27=FALSE,0,(H51*ROUND($I$46*EXTDAT!D310,0))*-1),0)</f>
        <v>0</v>
      </c>
      <c r="K51" s="117"/>
      <c r="L51" s="116"/>
    </row>
    <row r="52" spans="1:21" ht="20.25" customHeight="1">
      <c r="A52" s="116"/>
      <c r="B52" s="117"/>
      <c r="C52" s="201" t="s">
        <v>124</v>
      </c>
      <c r="D52" s="202"/>
      <c r="E52" s="202"/>
      <c r="F52" s="202"/>
      <c r="G52" s="202"/>
      <c r="H52" s="202"/>
      <c r="I52" s="202"/>
      <c r="J52" s="20">
        <f>J46+J47+J49+J50+J51</f>
        <v>0</v>
      </c>
      <c r="K52" s="117"/>
      <c r="L52" s="116"/>
    </row>
    <row r="53" spans="1:21" ht="10" customHeight="1">
      <c r="A53" s="116"/>
      <c r="B53" s="117"/>
      <c r="C53" s="191"/>
      <c r="D53" s="191"/>
      <c r="E53" s="191"/>
      <c r="F53" s="191"/>
      <c r="G53" s="191"/>
      <c r="H53" s="191"/>
      <c r="I53" s="191"/>
      <c r="J53" s="191"/>
      <c r="K53" s="117"/>
      <c r="L53" s="116"/>
    </row>
    <row r="54" spans="1:21" ht="20.25" customHeight="1">
      <c r="A54" s="116"/>
      <c r="B54" s="117"/>
      <c r="C54" s="47" t="s">
        <v>123</v>
      </c>
      <c r="D54" s="210" t="str">
        <f>D10</f>
        <v>Bocka i om resan avser tid efter tre månader</v>
      </c>
      <c r="E54" s="211"/>
      <c r="F54" s="211"/>
      <c r="G54" s="21"/>
      <c r="H54" s="210" t="str">
        <f>IF(EXTDAT!$C$28=TRUE,"Normalbelopp reducerat till 70% !","")</f>
        <v/>
      </c>
      <c r="I54" s="226"/>
      <c r="J54" s="227"/>
      <c r="K54" s="117"/>
      <c r="L54" s="116"/>
    </row>
    <row r="55" spans="1:21" ht="14.25" customHeight="1">
      <c r="A55" s="116"/>
      <c r="B55" s="117"/>
      <c r="C55" s="60" t="s">
        <v>113</v>
      </c>
      <c r="D55" s="192" t="s">
        <v>14</v>
      </c>
      <c r="E55" s="193"/>
      <c r="F55" s="192" t="s">
        <v>16</v>
      </c>
      <c r="G55" s="193"/>
      <c r="H55" s="194" t="s">
        <v>114</v>
      </c>
      <c r="I55" s="194" t="s">
        <v>115</v>
      </c>
      <c r="J55" s="194" t="s">
        <v>116</v>
      </c>
      <c r="K55" s="117"/>
      <c r="L55" s="116"/>
    </row>
    <row r="56" spans="1:21" ht="11.25" customHeight="1">
      <c r="A56" s="116"/>
      <c r="B56" s="117"/>
      <c r="C56" s="14"/>
      <c r="D56" s="61" t="s">
        <v>13</v>
      </c>
      <c r="E56" s="61" t="s">
        <v>15</v>
      </c>
      <c r="F56" s="61" t="s">
        <v>13</v>
      </c>
      <c r="G56" s="61" t="s">
        <v>15</v>
      </c>
      <c r="H56" s="195"/>
      <c r="I56" s="195"/>
      <c r="J56" s="195"/>
      <c r="K56" s="117"/>
      <c r="L56" s="116"/>
    </row>
    <row r="57" spans="1:21" ht="20.25" customHeight="1">
      <c r="A57" s="116"/>
      <c r="B57" s="117"/>
      <c r="C57" s="203"/>
      <c r="D57" s="13"/>
      <c r="E57" s="7"/>
      <c r="F57" s="6"/>
      <c r="G57" s="8"/>
      <c r="H57" s="15">
        <f>IF(D57&lt;&gt;"",ValidAllowanceDays15,0)</f>
        <v>0</v>
      </c>
      <c r="I57" s="41">
        <f>IF(C62&lt;&gt;"",IF(EXTDAT!$C$28=FALSE,(VLOOKUP(C62,EXTDAT!$C$130:$E$300,2,FALSE)),(VLOOKUP(C62,EXTDAT!$C$130:$E$300,3,FALSE))),0)</f>
        <v>0</v>
      </c>
      <c r="J57" s="9">
        <f>IF(F57&gt;0,H57*I57,0)</f>
        <v>0</v>
      </c>
      <c r="K57" s="117"/>
      <c r="L57" s="116"/>
    </row>
    <row r="58" spans="1:21" ht="26.25" customHeight="1">
      <c r="A58" s="116"/>
      <c r="B58" s="117"/>
      <c r="C58" s="203"/>
      <c r="D58" s="199" t="s">
        <v>279</v>
      </c>
      <c r="E58" s="200"/>
      <c r="F58" s="200"/>
      <c r="G58" s="21"/>
      <c r="H58" s="81" t="str">
        <f>IF(EXTDAT!C35=TRUE,IF(Accomodations15&gt;0,Accomodations15,""),"")</f>
        <v/>
      </c>
      <c r="I58" s="82"/>
      <c r="J58" s="87">
        <f>EXTDAT!E35</f>
        <v>0</v>
      </c>
      <c r="K58" s="117"/>
      <c r="L58" s="122"/>
      <c r="M58"/>
      <c r="N58"/>
      <c r="O58"/>
      <c r="P58"/>
      <c r="Q58"/>
      <c r="R58"/>
      <c r="S58"/>
      <c r="T58"/>
      <c r="U58"/>
    </row>
    <row r="59" spans="1:21" ht="26.25" customHeight="1">
      <c r="A59" s="116"/>
      <c r="B59" s="117"/>
      <c r="C59" s="203"/>
      <c r="D59" s="199" t="str">
        <f>D26</f>
        <v>Bocka i om arbetsgivaren bekostat måltidskostnader under tjänsteresan</v>
      </c>
      <c r="E59" s="200"/>
      <c r="F59" s="200"/>
      <c r="G59" s="21"/>
      <c r="H59" s="76" t="str">
        <f>IF(EXTDAT!$E$28=TRUE,"Måltider","")</f>
        <v/>
      </c>
      <c r="I59" s="74"/>
      <c r="J59" s="86" t="str">
        <f>IF(EXTDAT!$E$28=TRUE,"Minskning
för kost","")</f>
        <v/>
      </c>
      <c r="K59" s="117"/>
      <c r="L59" s="116"/>
    </row>
    <row r="60" spans="1:21" ht="20.25" customHeight="1">
      <c r="A60" s="116"/>
      <c r="B60" s="117"/>
      <c r="C60" s="204"/>
      <c r="D60" s="205" t="str">
        <f>IF(EXTDAT!$E$28=TRUE,"Antal erhållna fria frukostar under vistelsen","")</f>
        <v/>
      </c>
      <c r="E60" s="206"/>
      <c r="F60" s="206"/>
      <c r="G60" s="207"/>
      <c r="H60" s="10"/>
      <c r="I60" s="208"/>
      <c r="J60" s="11">
        <f>IF(J57&gt;0,IF(EXTDAT!$E$28=FALSE,0,(H60*ROUND($I$57*EXTDAT!D308,0))*-1),0)</f>
        <v>0</v>
      </c>
      <c r="K60" s="117"/>
      <c r="L60" s="116"/>
    </row>
    <row r="61" spans="1:21" ht="20.25" customHeight="1">
      <c r="A61" s="116"/>
      <c r="B61" s="117"/>
      <c r="C61" s="60" t="s">
        <v>98</v>
      </c>
      <c r="D61" s="205" t="str">
        <f>IF(EXTDAT!$E$28=TRUE,"Antal erhållna fria luncher under vistelsen","")</f>
        <v/>
      </c>
      <c r="E61" s="206"/>
      <c r="F61" s="206"/>
      <c r="G61" s="207"/>
      <c r="H61" s="10"/>
      <c r="I61" s="208"/>
      <c r="J61" s="11">
        <f>IF(J57&gt;0,IF(EXTDAT!$E$28=FALSE,0,(H61*ROUND($I$57*EXTDAT!D309,0))*-1),0)</f>
        <v>0</v>
      </c>
      <c r="K61" s="117"/>
      <c r="L61" s="116"/>
    </row>
    <row r="62" spans="1:21" ht="20.25" customHeight="1">
      <c r="A62" s="116"/>
      <c r="B62" s="117"/>
      <c r="C62" s="16" t="s">
        <v>117</v>
      </c>
      <c r="D62" s="205" t="str">
        <f>IF(EXTDAT!$E$28=TRUE,"Antal erhållna fria middagar under vistelsen","")</f>
        <v/>
      </c>
      <c r="E62" s="206"/>
      <c r="F62" s="206"/>
      <c r="G62" s="207"/>
      <c r="H62" s="12"/>
      <c r="I62" s="209"/>
      <c r="J62" s="11">
        <f>IF(J57&gt;0,IF(EXTDAT!$E$28=FALSE,0,(H62*ROUND($I$57*EXTDAT!D310,0))*-1),0)</f>
        <v>0</v>
      </c>
      <c r="K62" s="117"/>
      <c r="L62" s="116"/>
    </row>
    <row r="63" spans="1:21" ht="20.25" customHeight="1">
      <c r="A63" s="116"/>
      <c r="B63" s="117"/>
      <c r="C63" s="201" t="s">
        <v>124</v>
      </c>
      <c r="D63" s="202"/>
      <c r="E63" s="202"/>
      <c r="F63" s="202"/>
      <c r="G63" s="202"/>
      <c r="H63" s="202"/>
      <c r="I63" s="202"/>
      <c r="J63" s="20">
        <f>J57+J58+J60+J61+J62</f>
        <v>0</v>
      </c>
      <c r="K63" s="117"/>
      <c r="L63" s="116"/>
    </row>
    <row r="64" spans="1:21" ht="10" customHeight="1">
      <c r="A64" s="116"/>
      <c r="B64" s="117"/>
      <c r="C64" s="189"/>
      <c r="D64" s="189"/>
      <c r="E64" s="189"/>
      <c r="F64" s="189"/>
      <c r="G64" s="189"/>
      <c r="H64" s="189"/>
      <c r="I64" s="189"/>
      <c r="J64" s="189"/>
      <c r="K64" s="117"/>
      <c r="L64" s="116"/>
    </row>
    <row r="65" spans="1:12" s="17" customFormat="1" ht="30" customHeight="1">
      <c r="A65" s="120"/>
      <c r="B65" s="118"/>
      <c r="C65" s="196" t="s">
        <v>277</v>
      </c>
      <c r="D65" s="197"/>
      <c r="E65" s="197"/>
      <c r="F65" s="197"/>
      <c r="G65" s="197" t="s">
        <v>278</v>
      </c>
      <c r="H65" s="197"/>
      <c r="I65" s="197"/>
      <c r="J65" s="198"/>
      <c r="K65" s="118"/>
      <c r="L65" s="120"/>
    </row>
    <row r="66" spans="1:12" s="17" customFormat="1" ht="10" customHeight="1">
      <c r="A66" s="120"/>
      <c r="B66" s="118"/>
      <c r="C66" s="190"/>
      <c r="D66" s="190"/>
      <c r="E66" s="190"/>
      <c r="F66" s="190"/>
      <c r="G66" s="190"/>
      <c r="H66" s="190"/>
      <c r="I66" s="190"/>
      <c r="J66" s="190"/>
      <c r="K66" s="118"/>
      <c r="L66" s="120"/>
    </row>
    <row r="67" spans="1:12" s="17" customFormat="1" ht="20.25" customHeight="1">
      <c r="A67" s="120"/>
      <c r="B67" s="120"/>
      <c r="C67" s="121"/>
      <c r="D67" s="121"/>
      <c r="E67" s="121"/>
      <c r="F67" s="121"/>
      <c r="G67" s="121"/>
      <c r="H67" s="121"/>
      <c r="I67" s="121"/>
      <c r="J67" s="121"/>
      <c r="K67" s="120"/>
      <c r="L67" s="120"/>
    </row>
    <row r="68" spans="1:12" s="17" customFormat="1" ht="20.25" customHeight="1">
      <c r="C68" s="18"/>
      <c r="D68" s="18"/>
      <c r="E68" s="18"/>
      <c r="F68" s="18"/>
      <c r="G68" s="18"/>
      <c r="H68" s="18"/>
      <c r="I68" s="18"/>
      <c r="J68" s="18"/>
    </row>
    <row r="69" spans="1:12" s="17" customFormat="1" ht="20.25" customHeight="1">
      <c r="C69" s="18"/>
      <c r="D69" s="18"/>
      <c r="E69" s="18"/>
      <c r="F69" s="18"/>
      <c r="G69" s="18"/>
      <c r="H69" s="18"/>
      <c r="I69" s="18"/>
      <c r="J69" s="18"/>
    </row>
    <row r="70" spans="1:12" s="17" customFormat="1" ht="20.25" customHeight="1">
      <c r="C70" s="18"/>
      <c r="D70" s="18"/>
      <c r="E70" s="18"/>
      <c r="F70" s="18"/>
      <c r="G70" s="18"/>
      <c r="H70" s="18"/>
      <c r="I70" s="18"/>
      <c r="J70" s="18"/>
    </row>
    <row r="71" spans="1:12" s="17" customFormat="1" ht="20.25" customHeight="1">
      <c r="C71" s="18"/>
      <c r="D71" s="18"/>
      <c r="E71" s="18"/>
      <c r="F71" s="18"/>
      <c r="G71" s="18"/>
      <c r="H71" s="18"/>
      <c r="I71" s="18"/>
      <c r="J71" s="18"/>
    </row>
    <row r="72" spans="1:12" s="17" customFormat="1" ht="20.25" customHeight="1">
      <c r="C72" s="18"/>
      <c r="D72" s="18"/>
      <c r="E72" s="18"/>
      <c r="F72" s="18"/>
      <c r="G72" s="18"/>
      <c r="H72" s="18"/>
      <c r="I72" s="18"/>
      <c r="J72" s="18"/>
    </row>
    <row r="73" spans="1:12" s="17" customFormat="1" ht="20.25" customHeight="1">
      <c r="C73" s="18"/>
      <c r="D73" s="18"/>
      <c r="E73" s="18"/>
      <c r="F73" s="18"/>
      <c r="G73" s="18"/>
      <c r="H73" s="18"/>
      <c r="I73" s="18"/>
      <c r="J73" s="18"/>
    </row>
    <row r="74" spans="1:12" s="17" customFormat="1" ht="20.25" customHeight="1">
      <c r="C74" s="18"/>
      <c r="D74" s="18"/>
      <c r="E74" s="18"/>
      <c r="F74" s="18"/>
      <c r="G74" s="18"/>
      <c r="H74" s="18"/>
      <c r="I74" s="18"/>
      <c r="J74" s="18"/>
    </row>
    <row r="75" spans="1:12" s="17" customFormat="1" ht="20.25" customHeight="1">
      <c r="C75" s="18"/>
      <c r="D75" s="18"/>
      <c r="E75" s="18"/>
      <c r="F75" s="18"/>
      <c r="G75" s="18"/>
      <c r="H75" s="18"/>
      <c r="I75" s="18"/>
      <c r="J75" s="18"/>
    </row>
    <row r="76" spans="1:12" s="17" customFormat="1" ht="20.25" customHeight="1">
      <c r="C76" s="18"/>
      <c r="D76" s="18"/>
      <c r="E76" s="18"/>
      <c r="F76" s="18"/>
      <c r="G76" s="18"/>
      <c r="H76" s="18"/>
      <c r="I76" s="18"/>
      <c r="J76" s="18"/>
    </row>
    <row r="77" spans="1:12" s="17" customFormat="1" ht="20.25" customHeight="1">
      <c r="C77" s="18"/>
      <c r="D77" s="18"/>
      <c r="E77" s="18"/>
      <c r="F77" s="18"/>
      <c r="G77" s="18"/>
      <c r="H77" s="18"/>
      <c r="I77" s="18"/>
      <c r="J77" s="18"/>
    </row>
    <row r="78" spans="1:12" s="17" customFormat="1" ht="20.25" customHeight="1">
      <c r="C78" s="18"/>
      <c r="D78" s="18"/>
      <c r="E78" s="18"/>
      <c r="F78" s="18"/>
      <c r="G78" s="18"/>
      <c r="H78" s="18"/>
      <c r="I78" s="18"/>
      <c r="J78" s="18"/>
    </row>
    <row r="79" spans="1:12" s="17" customFormat="1" ht="20.25" customHeight="1">
      <c r="C79" s="18"/>
      <c r="D79" s="18"/>
      <c r="E79" s="18"/>
      <c r="F79" s="18"/>
      <c r="G79" s="18"/>
      <c r="H79" s="18"/>
      <c r="I79" s="18"/>
      <c r="J79" s="18"/>
    </row>
    <row r="80" spans="1:12" s="17" customFormat="1" ht="20.25" customHeight="1">
      <c r="C80" s="18"/>
      <c r="D80" s="18"/>
      <c r="E80" s="18"/>
      <c r="F80" s="18"/>
      <c r="G80" s="18"/>
      <c r="H80" s="18"/>
      <c r="I80" s="18"/>
      <c r="J80" s="18"/>
    </row>
    <row r="81" spans="3:10" s="17" customFormat="1" ht="20.25" customHeight="1">
      <c r="C81" s="18"/>
      <c r="D81" s="18"/>
      <c r="E81" s="18"/>
      <c r="F81" s="18"/>
      <c r="G81" s="18"/>
      <c r="H81" s="18"/>
      <c r="I81" s="18"/>
      <c r="J81" s="18"/>
    </row>
    <row r="82" spans="3:10" s="17" customFormat="1" ht="20.25" customHeight="1">
      <c r="C82" s="18"/>
      <c r="D82" s="18"/>
      <c r="E82" s="18"/>
      <c r="F82" s="18"/>
      <c r="G82" s="18"/>
      <c r="H82" s="18"/>
      <c r="I82" s="18"/>
      <c r="J82" s="18"/>
    </row>
    <row r="83" spans="3:10" s="17" customFormat="1" ht="20.25" customHeight="1">
      <c r="C83" s="18"/>
      <c r="D83" s="18"/>
      <c r="E83" s="18"/>
      <c r="F83" s="18"/>
      <c r="G83" s="18"/>
      <c r="H83" s="18"/>
      <c r="I83" s="18"/>
      <c r="J83" s="18"/>
    </row>
    <row r="84" spans="3:10" s="17" customFormat="1" ht="20.25" customHeight="1">
      <c r="C84" s="18"/>
      <c r="D84" s="18"/>
      <c r="E84" s="18"/>
      <c r="F84" s="18"/>
      <c r="G84" s="18"/>
      <c r="H84" s="18"/>
      <c r="I84" s="18"/>
      <c r="J84" s="18"/>
    </row>
    <row r="85" spans="3:10" s="17" customFormat="1" ht="20.25" customHeight="1">
      <c r="C85" s="18"/>
      <c r="D85" s="18"/>
      <c r="E85" s="18"/>
      <c r="F85" s="18"/>
      <c r="G85" s="18"/>
      <c r="H85" s="18"/>
      <c r="I85" s="18"/>
      <c r="J85" s="18"/>
    </row>
    <row r="86" spans="3:10" s="17" customFormat="1" ht="20.25" customHeight="1">
      <c r="C86" s="18"/>
      <c r="D86" s="18"/>
      <c r="E86" s="18"/>
      <c r="F86" s="18"/>
      <c r="G86" s="18"/>
      <c r="H86" s="18"/>
      <c r="I86" s="18"/>
      <c r="J86" s="18"/>
    </row>
    <row r="87" spans="3:10" s="17" customFormat="1" ht="20.25" customHeight="1">
      <c r="C87" s="18"/>
      <c r="D87" s="18"/>
      <c r="E87" s="18"/>
      <c r="F87" s="18"/>
      <c r="G87" s="18"/>
      <c r="H87" s="18"/>
      <c r="I87" s="18"/>
      <c r="J87" s="18"/>
    </row>
    <row r="88" spans="3:10" s="17" customFormat="1" ht="20.25" customHeight="1">
      <c r="C88" s="18"/>
      <c r="D88" s="18"/>
      <c r="E88" s="18"/>
      <c r="F88" s="18"/>
      <c r="G88" s="18"/>
      <c r="H88" s="18"/>
      <c r="I88" s="18"/>
      <c r="J88" s="18"/>
    </row>
    <row r="89" spans="3:10" s="17" customFormat="1" ht="20.25" customHeight="1">
      <c r="C89" s="18"/>
      <c r="D89" s="18"/>
      <c r="E89" s="18"/>
      <c r="F89" s="18"/>
      <c r="G89" s="18"/>
      <c r="H89" s="18"/>
      <c r="I89" s="18"/>
      <c r="J89" s="18"/>
    </row>
    <row r="90" spans="3:10" s="17" customFormat="1" ht="20.25" customHeight="1">
      <c r="C90" s="18"/>
      <c r="D90" s="18"/>
      <c r="E90" s="18"/>
      <c r="F90" s="18"/>
      <c r="G90" s="18"/>
      <c r="H90" s="18"/>
      <c r="I90" s="18"/>
      <c r="J90" s="18"/>
    </row>
    <row r="91" spans="3:10" s="17" customFormat="1" ht="20.25" customHeight="1">
      <c r="C91" s="18"/>
      <c r="D91" s="18"/>
      <c r="E91" s="18"/>
      <c r="F91" s="18"/>
      <c r="G91" s="18"/>
      <c r="H91" s="18"/>
      <c r="I91" s="18"/>
      <c r="J91" s="18"/>
    </row>
    <row r="92" spans="3:10" s="17" customFormat="1" ht="20.25" customHeight="1"/>
    <row r="93" spans="3:10" s="17" customFormat="1" ht="20.25" customHeight="1"/>
    <row r="94" spans="3:10" s="17" customFormat="1" ht="20.25" customHeight="1"/>
    <row r="95" spans="3:10" s="17" customFormat="1" ht="20.25" customHeight="1"/>
    <row r="96" spans="3:10" s="17" customFormat="1" ht="20.25" customHeight="1"/>
    <row r="97" spans="4:5" s="17" customFormat="1" ht="20.25" customHeight="1"/>
    <row r="98" spans="4:5" s="17" customFormat="1" ht="20.25" customHeight="1">
      <c r="D98" s="19"/>
      <c r="E98" s="19"/>
    </row>
    <row r="99" spans="4:5" s="17" customFormat="1" ht="20.25" customHeight="1"/>
    <row r="100" spans="4:5" s="17" customFormat="1" ht="20.25" customHeight="1"/>
    <row r="101" spans="4:5" s="17" customFormat="1" ht="20.25" customHeight="1"/>
    <row r="102" spans="4:5" s="17" customFormat="1" ht="20.25" customHeight="1"/>
    <row r="103" spans="4:5" s="17" customFormat="1" ht="20.25" customHeight="1"/>
    <row r="104" spans="4:5" s="17" customFormat="1" ht="20.25" customHeight="1"/>
    <row r="105" spans="4:5" s="17" customFormat="1" ht="20.25" customHeight="1"/>
    <row r="106" spans="4:5" s="17" customFormat="1" ht="20.25" customHeight="1"/>
    <row r="107" spans="4:5" s="17" customFormat="1" ht="20.25" customHeight="1"/>
    <row r="108" spans="4:5" s="17" customFormat="1" ht="20.25" customHeight="1"/>
    <row r="109" spans="4:5" s="17" customFormat="1" ht="20.25" customHeight="1"/>
    <row r="110" spans="4:5" s="17" customFormat="1" ht="20.25" customHeight="1"/>
    <row r="111" spans="4:5" s="17" customFormat="1" ht="20.25" customHeight="1"/>
    <row r="112" spans="4:5" s="17" customFormat="1" ht="20.25" customHeight="1"/>
    <row r="113" s="17" customFormat="1" ht="20.25" customHeight="1"/>
    <row r="114" s="17" customFormat="1" ht="20.25" customHeight="1"/>
    <row r="115" s="17" customFormat="1" ht="20.25" customHeight="1"/>
    <row r="116" s="17" customFormat="1" ht="20.25" customHeight="1"/>
    <row r="117" s="17" customFormat="1" ht="20.25" customHeight="1"/>
    <row r="118" s="17" customFormat="1" ht="20.25" customHeight="1"/>
    <row r="119" s="17" customFormat="1" ht="20.25" customHeight="1"/>
    <row r="120" s="17" customFormat="1" ht="20.25" customHeight="1"/>
    <row r="121" s="17" customFormat="1" ht="20.25" customHeight="1"/>
    <row r="122" s="17" customFormat="1" ht="20.25" customHeight="1"/>
    <row r="123" s="17" customFormat="1" ht="20.25" customHeight="1"/>
    <row r="124" s="17" customFormat="1" ht="20.25" customHeight="1"/>
    <row r="125" s="17" customFormat="1" ht="20.25" customHeight="1"/>
    <row r="126" s="17" customFormat="1" ht="20.25" customHeight="1"/>
    <row r="127" s="17" customFormat="1" ht="20.25" customHeight="1"/>
    <row r="128" s="17" customFormat="1" ht="20.25" customHeight="1"/>
    <row r="129" s="17" customFormat="1" ht="20.25" customHeight="1"/>
    <row r="130" s="17" customFormat="1" ht="20.25" customHeight="1"/>
    <row r="131" s="17" customFormat="1" ht="20.25" customHeight="1"/>
    <row r="132" s="17" customFormat="1" ht="20.25" customHeight="1"/>
    <row r="133" s="17" customFormat="1" ht="20.25" customHeight="1"/>
    <row r="134" s="17" customFormat="1" ht="20.25" customHeight="1"/>
    <row r="135" s="17" customFormat="1" ht="20.25" customHeight="1"/>
    <row r="136" s="17" customFormat="1" ht="20.25" customHeight="1"/>
    <row r="137" s="17" customFormat="1" ht="20.25" customHeight="1"/>
    <row r="138" s="17" customFormat="1" ht="20.25" customHeight="1"/>
    <row r="139" s="17" customFormat="1" ht="20.25" customHeight="1"/>
    <row r="140" s="17" customFormat="1" ht="20.25" customHeight="1"/>
    <row r="141" s="17" customFormat="1" ht="20.25" customHeight="1"/>
    <row r="142" s="17" customFormat="1" ht="20.25" customHeight="1"/>
    <row r="143" s="17" customFormat="1" ht="20.25" customHeight="1"/>
    <row r="144" s="17" customFormat="1" ht="20.25" customHeight="1"/>
    <row r="145" s="17" customFormat="1" ht="20.25" customHeight="1"/>
    <row r="146" s="17" customFormat="1" ht="20.25" customHeight="1"/>
    <row r="147" s="17" customFormat="1" ht="20.25" customHeight="1"/>
    <row r="148" s="17" customFormat="1" ht="20.25" customHeight="1"/>
    <row r="149" s="17" customFormat="1" ht="20.25" customHeight="1"/>
    <row r="150" s="17" customFormat="1" ht="20.25" customHeight="1"/>
    <row r="151" s="17" customFormat="1" ht="20.25" customHeight="1"/>
    <row r="152" s="17" customFormat="1" ht="20.25" customHeight="1"/>
    <row r="153" s="17" customFormat="1" ht="20.25" customHeight="1"/>
    <row r="154" s="17" customFormat="1" ht="20.25" customHeight="1"/>
    <row r="155" s="17" customFormat="1" ht="20.25" customHeight="1"/>
    <row r="156" s="17" customFormat="1" ht="20.25" customHeight="1"/>
    <row r="157" s="17" customFormat="1" ht="20.25" customHeight="1"/>
    <row r="158" s="17" customFormat="1" ht="20.25" customHeight="1"/>
    <row r="159" s="17" customFormat="1" ht="20.25" customHeight="1"/>
    <row r="160" s="17" customFormat="1" ht="20.25" customHeight="1"/>
    <row r="161" s="17" customFormat="1" ht="20.25" customHeight="1"/>
    <row r="162" s="17" customFormat="1" ht="20.25" customHeight="1"/>
    <row r="163" s="17" customFormat="1" ht="20.25" customHeight="1"/>
    <row r="164" s="17" customFormat="1" ht="20.25" customHeight="1"/>
    <row r="165" s="17" customFormat="1" ht="20.25" customHeight="1"/>
    <row r="166" s="17" customFormat="1" ht="20.25" customHeight="1"/>
    <row r="167" s="17" customFormat="1" ht="20.25" customHeight="1"/>
    <row r="168" s="17" customFormat="1" ht="20.25" customHeight="1"/>
    <row r="169" s="17" customFormat="1" ht="20.25" customHeight="1"/>
    <row r="170" s="17" customFormat="1" ht="20.25" customHeight="1"/>
    <row r="171" s="17" customFormat="1" ht="20.25" customHeight="1"/>
    <row r="172" s="17" customFormat="1" ht="20.25" customHeight="1"/>
    <row r="173" s="17" customFormat="1" ht="20.25" customHeight="1"/>
    <row r="174" s="17" customFormat="1" ht="20.25" customHeight="1"/>
    <row r="175" s="17" customFormat="1" ht="20.25" customHeight="1"/>
    <row r="176" s="17" customFormat="1" ht="20.25" customHeight="1"/>
    <row r="177" s="17" customFormat="1" ht="20.25" customHeight="1"/>
    <row r="178" s="17" customFormat="1" ht="20.25" customHeight="1"/>
    <row r="179" s="17" customFormat="1" ht="20.25" customHeight="1"/>
    <row r="180" s="17" customFormat="1" ht="20.25" customHeight="1"/>
    <row r="181" s="17" customFormat="1" ht="20.25" customHeight="1"/>
    <row r="182" s="17" customFormat="1" ht="20.25" customHeight="1"/>
    <row r="183" s="17" customFormat="1" ht="20.25" customHeight="1"/>
    <row r="184" s="17" customFormat="1" ht="20.25" customHeight="1"/>
    <row r="185" s="17" customFormat="1" ht="20.25" customHeight="1"/>
    <row r="186" s="17" customFormat="1" ht="20.25" customHeight="1"/>
    <row r="187" s="17" customFormat="1" ht="20.25" customHeight="1"/>
    <row r="188" s="17" customFormat="1" ht="20.25" customHeight="1"/>
    <row r="189" s="17" customFormat="1" ht="20.25" customHeight="1"/>
    <row r="190" s="17" customFormat="1" ht="20.25" customHeight="1"/>
    <row r="191" s="17" customFormat="1" ht="20.25" customHeight="1"/>
    <row r="192" s="17" customFormat="1" ht="20.25" customHeight="1"/>
    <row r="193" s="17" customFormat="1" ht="20.25" customHeight="1"/>
    <row r="194" s="17" customFormat="1" ht="20.25" customHeight="1"/>
    <row r="195" s="17" customFormat="1" ht="20.25" customHeight="1"/>
    <row r="196" s="17" customFormat="1" ht="20.25" customHeight="1"/>
    <row r="197" s="17" customFormat="1" ht="20.25" customHeight="1"/>
    <row r="198" s="17" customFormat="1" ht="20.25" customHeight="1"/>
    <row r="199" s="17" customFormat="1" ht="20.25" customHeight="1"/>
    <row r="200" s="17" customFormat="1" ht="20.25" customHeight="1"/>
    <row r="201" s="17" customFormat="1" ht="20.25" customHeight="1"/>
    <row r="202" s="17" customFormat="1" ht="20.25" customHeight="1"/>
    <row r="203" s="17" customFormat="1" ht="20.25" customHeight="1"/>
    <row r="204" s="17" customFormat="1" ht="20.25" customHeight="1"/>
    <row r="205" s="17" customFormat="1" ht="20.25" customHeight="1"/>
    <row r="206" s="17" customFormat="1" ht="20.25" customHeight="1"/>
    <row r="207" s="17" customFormat="1" ht="20.25" customHeight="1"/>
    <row r="208" s="17" customFormat="1" ht="20.25" customHeight="1"/>
    <row r="209" s="17" customFormat="1" ht="20.25" customHeight="1"/>
    <row r="210" s="17" customFormat="1" ht="20.25" customHeight="1"/>
    <row r="211" s="17" customFormat="1" ht="20.25" customHeight="1"/>
    <row r="212" s="17" customFormat="1" ht="20.25" customHeight="1"/>
    <row r="213" s="17" customFormat="1" ht="20.25" customHeight="1"/>
    <row r="214" s="17" customFormat="1" ht="20.25" customHeight="1"/>
    <row r="215" s="17" customFormat="1" ht="20.25" customHeight="1"/>
    <row r="216" s="17" customFormat="1" ht="20.25" customHeight="1"/>
    <row r="217" s="17" customFormat="1" ht="20.25" customHeight="1"/>
    <row r="218" s="17" customFormat="1" ht="20.25" customHeight="1"/>
    <row r="219" s="17" customFormat="1" ht="20.25" customHeight="1"/>
    <row r="220" s="17" customFormat="1" ht="20.25" customHeight="1"/>
    <row r="221" s="17" customFormat="1" ht="20.25" customHeight="1"/>
    <row r="222" s="17" customFormat="1" ht="20.25" customHeight="1"/>
    <row r="223" s="17" customFormat="1" ht="20.25" customHeight="1"/>
    <row r="224" s="17" customFormat="1" ht="20.25" customHeight="1"/>
    <row r="225" s="17" customFormat="1" ht="20.25" customHeight="1"/>
    <row r="226" s="17" customFormat="1" ht="20.25" customHeight="1"/>
    <row r="227" s="17" customFormat="1" ht="20.25" customHeight="1"/>
    <row r="228" s="17" customFormat="1" ht="20.25" customHeight="1"/>
    <row r="229" s="17" customFormat="1" ht="20.25" customHeight="1"/>
    <row r="230" s="17" customFormat="1" ht="20.25" customHeight="1"/>
    <row r="231" s="17" customFormat="1" ht="20.25" customHeight="1"/>
    <row r="232" s="17" customFormat="1" ht="20.25" customHeight="1"/>
    <row r="233" s="17" customFormat="1" ht="20.25" customHeight="1"/>
    <row r="234" s="17" customFormat="1" ht="20.25" customHeight="1"/>
    <row r="235" s="17" customFormat="1" ht="20.25" customHeight="1"/>
    <row r="236" s="17" customFormat="1" ht="20.25" customHeight="1"/>
    <row r="237" s="17" customFormat="1" ht="20.25" customHeight="1"/>
    <row r="238" s="17" customFormat="1" ht="20.25" customHeight="1"/>
    <row r="239" s="17" customFormat="1" ht="20.25" customHeight="1"/>
    <row r="240" s="17" customFormat="1" ht="20.25" customHeight="1"/>
    <row r="241" s="17" customFormat="1" ht="20.25" customHeight="1"/>
    <row r="242" s="17" customFormat="1" ht="20.25" customHeight="1"/>
    <row r="243" s="17" customFormat="1" ht="20.25" customHeight="1"/>
    <row r="244" s="17" customFormat="1" ht="20.25" customHeight="1"/>
    <row r="245" s="17" customFormat="1" ht="20.25" customHeight="1"/>
    <row r="246" s="17" customFormat="1" ht="20.25" customHeight="1"/>
    <row r="247" s="17" customFormat="1" ht="20.25" customHeight="1"/>
    <row r="248" s="17" customFormat="1" ht="20.25" customHeight="1"/>
    <row r="249" s="17" customFormat="1" ht="20.25" customHeight="1"/>
    <row r="250" s="17" customFormat="1" ht="20.25" customHeight="1"/>
    <row r="251" s="17" customFormat="1" ht="20.25" customHeight="1"/>
    <row r="252" s="17" customFormat="1" ht="20.25" customHeight="1"/>
    <row r="253" s="17" customFormat="1" ht="20.25" customHeight="1"/>
    <row r="254" s="17" customFormat="1" ht="20.25" customHeight="1"/>
    <row r="255" s="17" customFormat="1" ht="20.25" customHeight="1"/>
    <row r="256" s="17" customFormat="1" ht="20.25" customHeight="1"/>
    <row r="257" s="17" customFormat="1" ht="20.25" customHeight="1"/>
    <row r="258" s="17" customFormat="1" ht="20.25" customHeight="1"/>
    <row r="259" s="17" customFormat="1" ht="20.25" customHeight="1"/>
    <row r="260" s="17" customFormat="1" ht="20.25" customHeight="1"/>
    <row r="261" s="17" customFormat="1" ht="20.25" customHeight="1"/>
    <row r="262" s="17" customFormat="1" ht="20.25" customHeight="1"/>
    <row r="263" s="17" customFormat="1" ht="20.25" customHeight="1"/>
    <row r="264" s="17" customFormat="1" ht="20.25" customHeight="1"/>
    <row r="265" s="17" customFormat="1" ht="20.25" customHeight="1"/>
    <row r="266" s="17" customFormat="1" ht="20.25" customHeight="1"/>
    <row r="267" s="17" customFormat="1" ht="20.25" customHeight="1"/>
    <row r="268" s="17" customFormat="1" ht="20.25" customHeight="1"/>
    <row r="269" s="17" customFormat="1" ht="20.25" customHeight="1"/>
    <row r="270" s="17" customFormat="1" ht="20.25" customHeight="1"/>
    <row r="271" s="17" customFormat="1" ht="20.25" customHeight="1"/>
    <row r="272" s="17" customFormat="1" ht="20.25" customHeight="1"/>
    <row r="273" s="17" customFormat="1" ht="20.25" customHeight="1"/>
    <row r="274" s="17" customFormat="1" ht="20.25" customHeight="1"/>
    <row r="275" s="17" customFormat="1" ht="20.25" customHeight="1"/>
  </sheetData>
  <sheetProtection sheet="1" objects="1" scenarios="1"/>
  <mergeCells count="93">
    <mergeCell ref="C13:C16"/>
    <mergeCell ref="I11:I12"/>
    <mergeCell ref="C30:I30"/>
    <mergeCell ref="D17:G17"/>
    <mergeCell ref="D16:G16"/>
    <mergeCell ref="F22:G22"/>
    <mergeCell ref="C24:C27"/>
    <mergeCell ref="D11:E11"/>
    <mergeCell ref="D29:G29"/>
    <mergeCell ref="D14:F14"/>
    <mergeCell ref="D21:F21"/>
    <mergeCell ref="F11:G11"/>
    <mergeCell ref="D18:G18"/>
    <mergeCell ref="D62:G62"/>
    <mergeCell ref="D55:E55"/>
    <mergeCell ref="J55:J56"/>
    <mergeCell ref="H54:J54"/>
    <mergeCell ref="C52:I52"/>
    <mergeCell ref="C1:J1"/>
    <mergeCell ref="H7:J7"/>
    <mergeCell ref="C2:J2"/>
    <mergeCell ref="C3:J3"/>
    <mergeCell ref="D10:F10"/>
    <mergeCell ref="H10:J10"/>
    <mergeCell ref="D7:F7"/>
    <mergeCell ref="C8:J8"/>
    <mergeCell ref="D4:F4"/>
    <mergeCell ref="D5:F5"/>
    <mergeCell ref="H5:I5"/>
    <mergeCell ref="D6:F6"/>
    <mergeCell ref="H6:J6"/>
    <mergeCell ref="C9:J9"/>
    <mergeCell ref="H4:I4"/>
    <mergeCell ref="J22:J23"/>
    <mergeCell ref="D15:F15"/>
    <mergeCell ref="D22:E22"/>
    <mergeCell ref="H21:J21"/>
    <mergeCell ref="D40:G40"/>
    <mergeCell ref="D26:F26"/>
    <mergeCell ref="D38:G38"/>
    <mergeCell ref="D39:G39"/>
    <mergeCell ref="D25:F25"/>
    <mergeCell ref="D36:F36"/>
    <mergeCell ref="I22:I23"/>
    <mergeCell ref="H32:J32"/>
    <mergeCell ref="D27:G27"/>
    <mergeCell ref="D28:G28"/>
    <mergeCell ref="H43:J43"/>
    <mergeCell ref="D44:E44"/>
    <mergeCell ref="D43:F43"/>
    <mergeCell ref="F44:G44"/>
    <mergeCell ref="D47:F47"/>
    <mergeCell ref="H44:H45"/>
    <mergeCell ref="I44:I45"/>
    <mergeCell ref="J44:J45"/>
    <mergeCell ref="D49:G49"/>
    <mergeCell ref="I49:I51"/>
    <mergeCell ref="D50:G50"/>
    <mergeCell ref="D51:G51"/>
    <mergeCell ref="C46:C49"/>
    <mergeCell ref="D48:F48"/>
    <mergeCell ref="C35:C38"/>
    <mergeCell ref="C41:I41"/>
    <mergeCell ref="C42:J42"/>
    <mergeCell ref="H11:H12"/>
    <mergeCell ref="H22:H23"/>
    <mergeCell ref="D37:F37"/>
    <mergeCell ref="C31:J31"/>
    <mergeCell ref="D33:E33"/>
    <mergeCell ref="F33:G33"/>
    <mergeCell ref="H33:H34"/>
    <mergeCell ref="I33:I34"/>
    <mergeCell ref="J33:J34"/>
    <mergeCell ref="D32:F32"/>
    <mergeCell ref="J11:J12"/>
    <mergeCell ref="C19:I19"/>
    <mergeCell ref="C20:J20"/>
    <mergeCell ref="C64:J64"/>
    <mergeCell ref="C66:J66"/>
    <mergeCell ref="C53:J53"/>
    <mergeCell ref="F55:G55"/>
    <mergeCell ref="H55:H56"/>
    <mergeCell ref="I55:I56"/>
    <mergeCell ref="C65:F65"/>
    <mergeCell ref="G65:J65"/>
    <mergeCell ref="D59:F59"/>
    <mergeCell ref="C63:I63"/>
    <mergeCell ref="C57:C60"/>
    <mergeCell ref="D60:G60"/>
    <mergeCell ref="I60:I62"/>
    <mergeCell ref="D54:F54"/>
    <mergeCell ref="D58:F58"/>
    <mergeCell ref="D61:G61"/>
  </mergeCells>
  <phoneticPr fontId="0" type="noConversion"/>
  <conditionalFormatting sqref="I16:I18">
    <cfRule type="expression" dxfId="10" priority="1" stopIfTrue="1">
      <formula>OR(DepartureTime11&gt;=DepartureTimeThresholdHalf,ArrivalTime11&lt;=ArrivalTimeThresholdHalf)</formula>
    </cfRule>
  </conditionalFormatting>
  <conditionalFormatting sqref="I27:I29">
    <cfRule type="expression" dxfId="9" priority="2" stopIfTrue="1">
      <formula>OR(DepartureTime12&gt;=DepartureTimeThresholdHalf,ArrivalTime12&lt;=ArrivalTimeThresholdHalf)</formula>
    </cfRule>
  </conditionalFormatting>
  <conditionalFormatting sqref="I38:I40">
    <cfRule type="expression" dxfId="8" priority="3" stopIfTrue="1">
      <formula>OR(DepartureTime13&gt;=DepartureTimeThresholdHalf,ArrivalTime13&lt;=ArrivalTimeThresholdHalf)</formula>
    </cfRule>
  </conditionalFormatting>
  <conditionalFormatting sqref="J58 H58 J47 H47">
    <cfRule type="cellIs" dxfId="7" priority="4" stopIfTrue="1" operator="greaterThan">
      <formula>0</formula>
    </cfRule>
  </conditionalFormatting>
  <conditionalFormatting sqref="J36 J25 J14">
    <cfRule type="cellIs" dxfId="6" priority="5" stopIfTrue="1" operator="greaterThan">
      <formula>0</formula>
    </cfRule>
  </conditionalFormatting>
  <dataValidations xWindow="679" yWindow="497" count="17">
    <dataValidation type="list" showInputMessage="1" showErrorMessage="1" errorTitle="Inmatningsfel" error="Tryck på knappen &quot;Avbryt&quot; (&quot;Cancel&quot;) så får du en ny chans. Välj sedan ett land ur listan, eller ställ dig högst upp i listan på alternativet &quot;Välj land ur listan...&quot;." promptTitle="Vistelse utomlands" prompt="Välj land ur listan..." sqref="C51 C62" xr:uid="{00000000-0002-0000-0300-000000000000}">
      <formula1>CBList2</formula1>
    </dataValidation>
    <dataValidation type="whole" operator="greaterThan" allowBlank="1" showInputMessage="1" showErrorMessage="1" error="Du fyllt i antal måltider felaktigt. Fyll i antal måltider som ett heltal. Försök igen!" promptTitle="Antal måltider under heldag" prompt="Här anger du antal erhållna fria frukostar under vistelsens beräknade heldagar för skattefritt dagtraktamente, som ett heltal större än noll._x000a__x000a_Observera att kost som obligatoriskt ingår i priset på allmänna transportmedel inte ska minska traktamentet." sqref="H16 H27 H38 H49 H60" xr:uid="{00000000-0002-0000-0300-000001000000}">
      <formula1>0</formula1>
    </dataValidation>
    <dataValidation type="whole" operator="greaterThan" allowBlank="1" showInputMessage="1" showErrorMessage="1" error="Du fyllt i antal måltider felaktigt. Fyll i antal måltider som ett heltal. Försök igen!" promptTitle="Antal måltider under heldag" prompt="Här anger du antal erhållna fria luncher under vistelsens beräknade heldagar för skattefritt dagtraktamente, som ett heltal större än noll._x000a__x000a_Observera att kost som obligatoriskt ingår i priset på allmänna transportmedel inte ska minska traktamentet." sqref="H17 H28 H39 H50 H61" xr:uid="{00000000-0002-0000-0300-000002000000}">
      <formula1>0</formula1>
    </dataValidation>
    <dataValidation type="whole" operator="greaterThan" allowBlank="1" showInputMessage="1" showErrorMessage="1" error="Du fyllt i antal måltider felaktigt. Fyll i antal måltider som ett heltal. Försök igen!" promptTitle="Antal måltider under heldag" prompt="Här anger du antal erhållna fria middagar under vistelsens beräknade heldagar för skattefritt dagtraktamente, som ett heltal större än noll._x000a__x000a_Observera att kost som obligatoriskt ingår i priset på allmänna transportmedel inte ska minska traktamentet." sqref="H18 H29 H40 H51 H62" xr:uid="{00000000-0002-0000-0300-000003000000}">
      <formula1>0</formula1>
    </dataValidation>
    <dataValidation type="whole" operator="greaterThan" allowBlank="1" showInputMessage="1" showErrorMessage="1" error="Du fyllt i antal måltider felaktigt. Fyll i antal måltider som ett heltal. Försök igen!" promptTitle="Antal måltider under halvdag" prompt="Här anger du antal erhållna fria frukostar under vistelsens beräknade halvdagar för skattefritt dagtraktamente._x000a__x000a_Som halv dag räknas avresedagen om resan påbörjas klockan 12.00 eller senare och hemkomstdagen om resan avslutas klockan 19.00 eller tidigare." sqref="I16 I27 I38" xr:uid="{00000000-0002-0000-0300-000004000000}">
      <formula1>0</formula1>
    </dataValidation>
    <dataValidation type="whole" operator="greaterThan" allowBlank="1" showInputMessage="1" showErrorMessage="1" error="Du fyllt i antal måltider felaktigt. Fyll i antal måltider som ett heltal. Försök igen!" promptTitle="Antal måltider under halvdag" prompt="Här anger du antal erhållna fria luncher under vistelsens beräknade halvdagar för skattefritt dagtraktamente._x000a__x000a_Som halv dag räknas avresedagen om resan påbörjas klockan 12.00 eller senare och hemkomstdagen om resan avslutas klockan 19.00 eller tidigare." sqref="I17 I28 I39" xr:uid="{00000000-0002-0000-0300-000005000000}">
      <formula1>0</formula1>
    </dataValidation>
    <dataValidation type="whole" operator="greaterThan" allowBlank="1" showInputMessage="1" showErrorMessage="1" error="Du fyllt i antal måltider felaktigt. Fyll i antal måltider som ett heltal. Försök igen!" promptTitle="Antal måltider under halvdag" prompt="Här anger du antal erhållna fria middagar under vistelsens beräknade halvdagar för skattefritt dagtraktamente._x000a__x000a_Som halv dag räknas avresedagen om resan påbörjas klockan 12.00 eller senare och hemkomstdagen om resan avslutas klockan 19.00 eller tidigare." sqref="I18 I29 I40" xr:uid="{00000000-0002-0000-0300-000006000000}">
      <formula1>0</formula1>
    </dataValidation>
    <dataValidation allowBlank="1" showInputMessage="1" showErrorMessage="1" promptTitle="Dagar" prompt="Dagar räknas ut automatiskt efter vad du angett för datum och tider._x000a__x000a_Observera att det alltid krävs minst en hel övernattning (kl. 00–06) för att skattefritt traktamente ska kunna betalas ut." sqref="H24 H35 H46 H57 H13" xr:uid="{00000000-0002-0000-0300-000007000000}"/>
    <dataValidation type="time" allowBlank="1" showInputMessage="1" showErrorMessage="1" error="Antagligen har du fyllt i tiden felaktigt. Hemkomsttiden fylls i på formen tt:mm, exempelvis 17:00 för kl. fem. Försök igen!" promptTitle="Hemkomsttid" prompt="Fyll i hemkomsttid på formen tt:mm." sqref="G46 G13 G24 G35 G57" xr:uid="{00000000-0002-0000-0300-000008000000}">
      <formula1>0</formula1>
      <formula2>0.999988425925926</formula2>
    </dataValidation>
    <dataValidation type="time" allowBlank="1" showInputMessage="1" showErrorMessage="1" error="Antagligen har du fyllt i tiden felaktigt. Avresetiden fylls i på formen tt:mm, exempelvis 08:00 för kl. åtta. Försök igen!" promptTitle="Avresetid" prompt="Fyll i avresetid på formen tt:mm." sqref="E46 E13 E24 E35 E57" xr:uid="{00000000-0002-0000-0300-000009000000}">
      <formula1>0</formula1>
      <formula2>0.999988425925926</formula2>
    </dataValidation>
    <dataValidation allowBlank="1" showInputMessage="1" showErrorMessage="1" promptTitle="Traktamente" prompt="Traktamente räknas ut automatiskt efter vad du angett för datum, tider och land." sqref="J46 J57" xr:uid="{00000000-0002-0000-0300-00000A000000}"/>
    <dataValidation allowBlank="1" showInputMessage="1" showErrorMessage="1" promptTitle="Traktamente" prompt="Traktamente räknas ut automatiskt efter vad du angett för datum och tider." sqref="J24 J13 J35" xr:uid="{00000000-0002-0000-0300-00000B000000}"/>
    <dataValidation type="date" operator="greaterThanOrEqual" allowBlank="1" showInputMessage="1" showErrorMessage="1" error="Antingen har du fyllt i datumet felaktigt eller så har du fyllt i ett datum före avresedatum. Datumet fylls i på formen ÅÅÅÅ-MM-DD, exempelvis 2014-05-31 för den 31 maj 2014. Försök igen!" promptTitle="Hemkomstdatum" prompt="Fyll i hemkomstdatum på formen ÅÅÅÅ-MM-DD." sqref="F24 F35 F46 F13 F57" xr:uid="{00000000-0002-0000-0300-00000C000000}">
      <formula1>D13</formula1>
    </dataValidation>
    <dataValidation allowBlank="1" showInputMessage="1" showErrorMessage="1" promptTitle="Nätter" prompt="Nätter räknas ut automatiskt efter vad du angett för datum och tider._x000a__x000a_Observera att det alltid krävs minst en hel övernattning (kl. 00–06) för att skattefritt nattraktamente ska kunna betalas ut." sqref="H14 H25 H36 H47 H58" xr:uid="{00000000-0002-0000-0300-00000D000000}"/>
    <dataValidation allowBlank="1" showInputMessage="1" showErrorMessage="1" promptTitle="Nattraktamente" prompt="Nattraktamente räknas ut automatiskt efter vad du angett för datum och tider." sqref="J14 J25 J36 J47 J58" xr:uid="{00000000-0002-0000-0300-00000E000000}"/>
    <dataValidation allowBlank="1" sqref="C4:G7 H5:J7 H4 J4" xr:uid="{00000000-0002-0000-0300-00000F000000}"/>
    <dataValidation type="date" allowBlank="1" showInputMessage="1" showErrorMessage="1" error="Antingen har du fyllt i datumet felaktigt eller så har du fyllt i ett datum före eller efter år 2014. Datumet fylls i på formen ÅÅÅÅ-MM-DD, exempelvis 2014-05-31 för den 31 maj 2014. Försök igen!" promptTitle="Avresedatum" prompt="Fyll i avresedatum på formen ÅÅÅÅ-MM-DD." sqref="D13 D24 D35 D46 D57" xr:uid="{00000000-0002-0000-0300-000010000000}">
      <formula1>18264</formula1>
      <formula2>54788</formula2>
    </dataValidation>
  </dataValidations>
  <hyperlinks>
    <hyperlink ref="C1" location="Huvudmeny!B2" tooltip="Klicka för att gå till huvudmenyn" display="T I L L  H U V U D M E N Y N" xr:uid="{00000000-0004-0000-0300-000000000000}"/>
    <hyperlink ref="C1:J1" location="MM!B2" tooltip="Klicka för att gå till huvudmenyn" display="T I L L  H U V U D M E N Y N" xr:uid="{00000000-0004-0000-0300-000001000000}"/>
  </hyperlinks>
  <printOptions horizontalCentered="1"/>
  <pageMargins left="0.51181102362204722" right="0.51181102362204722" top="0.98425196850393704" bottom="0.98425196850393704" header="0.51181102362204722" footer="0.39370078740157483"/>
  <pageSetup paperSize="9" orientation="portrait" blackAndWhite="1" r:id="rId1"/>
  <headerFooter alignWithMargins="0">
    <oddFooter>&amp;L&amp;"Arial,Normal"&amp;6Copyright DokuMera
&amp;"Arial,Normal"&amp;6DM 1189 &amp;"Arial,Normal"&amp;6V 1.52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266700</xdr:colOff>
                    <xdr:row>9</xdr:row>
                    <xdr:rowOff>12700</xdr:rowOff>
                  </from>
                  <to>
                    <xdr:col>6</xdr:col>
                    <xdr:colOff>571500</xdr:colOff>
                    <xdr:row>9</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266700</xdr:colOff>
                    <xdr:row>20</xdr:row>
                    <xdr:rowOff>12700</xdr:rowOff>
                  </from>
                  <to>
                    <xdr:col>6</xdr:col>
                    <xdr:colOff>571500</xdr:colOff>
                    <xdr:row>20</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266700</xdr:colOff>
                    <xdr:row>31</xdr:row>
                    <xdr:rowOff>12700</xdr:rowOff>
                  </from>
                  <to>
                    <xdr:col>6</xdr:col>
                    <xdr:colOff>571500</xdr:colOff>
                    <xdr:row>31</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266700</xdr:colOff>
                    <xdr:row>42</xdr:row>
                    <xdr:rowOff>12700</xdr:rowOff>
                  </from>
                  <to>
                    <xdr:col>6</xdr:col>
                    <xdr:colOff>571500</xdr:colOff>
                    <xdr:row>42</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266700</xdr:colOff>
                    <xdr:row>53</xdr:row>
                    <xdr:rowOff>12700</xdr:rowOff>
                  </from>
                  <to>
                    <xdr:col>6</xdr:col>
                    <xdr:colOff>571500</xdr:colOff>
                    <xdr:row>53</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266700</xdr:colOff>
                    <xdr:row>20</xdr:row>
                    <xdr:rowOff>12700</xdr:rowOff>
                  </from>
                  <to>
                    <xdr:col>6</xdr:col>
                    <xdr:colOff>571500</xdr:colOff>
                    <xdr:row>20</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6</xdr:col>
                    <xdr:colOff>266700</xdr:colOff>
                    <xdr:row>31</xdr:row>
                    <xdr:rowOff>12700</xdr:rowOff>
                  </from>
                  <to>
                    <xdr:col>6</xdr:col>
                    <xdr:colOff>571500</xdr:colOff>
                    <xdr:row>31</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266700</xdr:colOff>
                    <xdr:row>42</xdr:row>
                    <xdr:rowOff>12700</xdr:rowOff>
                  </from>
                  <to>
                    <xdr:col>6</xdr:col>
                    <xdr:colOff>571500</xdr:colOff>
                    <xdr:row>42</xdr:row>
                    <xdr:rowOff>228600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6</xdr:col>
                    <xdr:colOff>266700</xdr:colOff>
                    <xdr:row>53</xdr:row>
                    <xdr:rowOff>12700</xdr:rowOff>
                  </from>
                  <to>
                    <xdr:col>6</xdr:col>
                    <xdr:colOff>571500</xdr:colOff>
                    <xdr:row>53</xdr:row>
                    <xdr:rowOff>228600</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6</xdr:col>
                    <xdr:colOff>266700</xdr:colOff>
                    <xdr:row>14</xdr:row>
                    <xdr:rowOff>50800</xdr:rowOff>
                  </from>
                  <to>
                    <xdr:col>6</xdr:col>
                    <xdr:colOff>571500</xdr:colOff>
                    <xdr:row>14</xdr:row>
                    <xdr:rowOff>266700</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6</xdr:col>
                    <xdr:colOff>266700</xdr:colOff>
                    <xdr:row>25</xdr:row>
                    <xdr:rowOff>50800</xdr:rowOff>
                  </from>
                  <to>
                    <xdr:col>6</xdr:col>
                    <xdr:colOff>571500</xdr:colOff>
                    <xdr:row>25</xdr:row>
                    <xdr:rowOff>266700</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6</xdr:col>
                    <xdr:colOff>266700</xdr:colOff>
                    <xdr:row>36</xdr:row>
                    <xdr:rowOff>50800</xdr:rowOff>
                  </from>
                  <to>
                    <xdr:col>6</xdr:col>
                    <xdr:colOff>571500</xdr:colOff>
                    <xdr:row>36</xdr:row>
                    <xdr:rowOff>266700</xdr:rowOff>
                  </to>
                </anchor>
              </controlPr>
            </control>
          </mc:Choice>
        </mc:AlternateContent>
        <mc:AlternateContent xmlns:mc="http://schemas.openxmlformats.org/markup-compatibility/2006">
          <mc:Choice Requires="x14">
            <control shapeId="8216" r:id="rId16" name="Check Box 24">
              <controlPr defaultSize="0" autoFill="0" autoLine="0" autoPict="0">
                <anchor moveWithCells="1">
                  <from>
                    <xdr:col>6</xdr:col>
                    <xdr:colOff>266700</xdr:colOff>
                    <xdr:row>47</xdr:row>
                    <xdr:rowOff>50800</xdr:rowOff>
                  </from>
                  <to>
                    <xdr:col>6</xdr:col>
                    <xdr:colOff>571500</xdr:colOff>
                    <xdr:row>47</xdr:row>
                    <xdr:rowOff>266700</xdr:rowOff>
                  </to>
                </anchor>
              </controlPr>
            </control>
          </mc:Choice>
        </mc:AlternateContent>
        <mc:AlternateContent xmlns:mc="http://schemas.openxmlformats.org/markup-compatibility/2006">
          <mc:Choice Requires="x14">
            <control shapeId="8217" r:id="rId17" name="Check Box 25">
              <controlPr defaultSize="0" autoFill="0" autoLine="0" autoPict="0">
                <anchor moveWithCells="1">
                  <from>
                    <xdr:col>6</xdr:col>
                    <xdr:colOff>266700</xdr:colOff>
                    <xdr:row>58</xdr:row>
                    <xdr:rowOff>50800</xdr:rowOff>
                  </from>
                  <to>
                    <xdr:col>6</xdr:col>
                    <xdr:colOff>571500</xdr:colOff>
                    <xdr:row>58</xdr:row>
                    <xdr:rowOff>266700</xdr:rowOff>
                  </to>
                </anchor>
              </controlPr>
            </control>
          </mc:Choice>
        </mc:AlternateContent>
        <mc:AlternateContent xmlns:mc="http://schemas.openxmlformats.org/markup-compatibility/2006">
          <mc:Choice Requires="x14">
            <control shapeId="8243" r:id="rId18" name="Check Box 51">
              <controlPr defaultSize="0" autoFill="0" autoLine="0" autoPict="0">
                <anchor moveWithCells="1">
                  <from>
                    <xdr:col>6</xdr:col>
                    <xdr:colOff>266700</xdr:colOff>
                    <xdr:row>13</xdr:row>
                    <xdr:rowOff>50800</xdr:rowOff>
                  </from>
                  <to>
                    <xdr:col>6</xdr:col>
                    <xdr:colOff>571500</xdr:colOff>
                    <xdr:row>13</xdr:row>
                    <xdr:rowOff>266700</xdr:rowOff>
                  </to>
                </anchor>
              </controlPr>
            </control>
          </mc:Choice>
        </mc:AlternateContent>
        <mc:AlternateContent xmlns:mc="http://schemas.openxmlformats.org/markup-compatibility/2006">
          <mc:Choice Requires="x14">
            <control shapeId="8244" r:id="rId19" name="Check Box 52">
              <controlPr defaultSize="0" autoFill="0" autoLine="0" autoPict="0">
                <anchor moveWithCells="1">
                  <from>
                    <xdr:col>6</xdr:col>
                    <xdr:colOff>266700</xdr:colOff>
                    <xdr:row>24</xdr:row>
                    <xdr:rowOff>50800</xdr:rowOff>
                  </from>
                  <to>
                    <xdr:col>6</xdr:col>
                    <xdr:colOff>571500</xdr:colOff>
                    <xdr:row>24</xdr:row>
                    <xdr:rowOff>266700</xdr:rowOff>
                  </to>
                </anchor>
              </controlPr>
            </control>
          </mc:Choice>
        </mc:AlternateContent>
        <mc:AlternateContent xmlns:mc="http://schemas.openxmlformats.org/markup-compatibility/2006">
          <mc:Choice Requires="x14">
            <control shapeId="8245" r:id="rId20" name="Check Box 53">
              <controlPr defaultSize="0" autoFill="0" autoLine="0" autoPict="0">
                <anchor moveWithCells="1">
                  <from>
                    <xdr:col>6</xdr:col>
                    <xdr:colOff>266700</xdr:colOff>
                    <xdr:row>35</xdr:row>
                    <xdr:rowOff>50800</xdr:rowOff>
                  </from>
                  <to>
                    <xdr:col>6</xdr:col>
                    <xdr:colOff>571500</xdr:colOff>
                    <xdr:row>35</xdr:row>
                    <xdr:rowOff>266700</xdr:rowOff>
                  </to>
                </anchor>
              </controlPr>
            </control>
          </mc:Choice>
        </mc:AlternateContent>
        <mc:AlternateContent xmlns:mc="http://schemas.openxmlformats.org/markup-compatibility/2006">
          <mc:Choice Requires="x14">
            <control shapeId="8246" r:id="rId21" name="Check Box 54">
              <controlPr defaultSize="0" autoFill="0" autoLine="0" autoPict="0">
                <anchor moveWithCells="1">
                  <from>
                    <xdr:col>6</xdr:col>
                    <xdr:colOff>266700</xdr:colOff>
                    <xdr:row>46</xdr:row>
                    <xdr:rowOff>50800</xdr:rowOff>
                  </from>
                  <to>
                    <xdr:col>6</xdr:col>
                    <xdr:colOff>571500</xdr:colOff>
                    <xdr:row>46</xdr:row>
                    <xdr:rowOff>266700</xdr:rowOff>
                  </to>
                </anchor>
              </controlPr>
            </control>
          </mc:Choice>
        </mc:AlternateContent>
        <mc:AlternateContent xmlns:mc="http://schemas.openxmlformats.org/markup-compatibility/2006">
          <mc:Choice Requires="x14">
            <control shapeId="8247" r:id="rId22" name="Check Box 55">
              <controlPr defaultSize="0" autoFill="0" autoLine="0" autoPict="0">
                <anchor moveWithCells="1">
                  <from>
                    <xdr:col>6</xdr:col>
                    <xdr:colOff>266700</xdr:colOff>
                    <xdr:row>57</xdr:row>
                    <xdr:rowOff>50800</xdr:rowOff>
                  </from>
                  <to>
                    <xdr:col>6</xdr:col>
                    <xdr:colOff>571500</xdr:colOff>
                    <xdr:row>57</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fitToPage="1"/>
  </sheetPr>
  <dimension ref="A1:L275"/>
  <sheetViews>
    <sheetView showGridLines="0" showRowColHeaders="0" showZeros="0" showOutlineSymbols="0" defaultGridColor="0" colorId="12" zoomScaleNormal="100" workbookViewId="0">
      <pane ySplit="8" topLeftCell="A9" activePane="bottomLeft" state="frozen"/>
      <selection activeCell="F57" activeCellId="9" sqref="D13 F13 D24 F24 D35 F35 D46 F46 D57 F57"/>
      <selection pane="bottomLeft" activeCell="B2" sqref="B2"/>
    </sheetView>
  </sheetViews>
  <sheetFormatPr defaultColWidth="9.1796875" defaultRowHeight="10"/>
  <cols>
    <col min="1" max="1" width="3.7265625" style="2" customWidth="1"/>
    <col min="2" max="2" width="2.26953125" style="2" customWidth="1"/>
    <col min="3" max="3" width="28.26953125" style="2" customWidth="1"/>
    <col min="4" max="4" width="12.7265625" style="2" customWidth="1"/>
    <col min="5" max="5" width="8.7265625" style="2" customWidth="1"/>
    <col min="6" max="6" width="12.7265625" style="2" customWidth="1"/>
    <col min="7" max="7" width="8.7265625" style="2" customWidth="1"/>
    <col min="8" max="9" width="10.7265625" style="2" customWidth="1"/>
    <col min="10" max="10" width="12.7265625" style="2" customWidth="1"/>
    <col min="11" max="11" width="2.26953125" style="2" customWidth="1"/>
    <col min="12" max="67" width="3.7265625" style="2" customWidth="1"/>
    <col min="68" max="16384" width="9.1796875" style="2"/>
  </cols>
  <sheetData>
    <row r="1" spans="1:12" ht="18" customHeight="1">
      <c r="A1" s="116"/>
      <c r="B1" s="116"/>
      <c r="C1" s="236" t="s">
        <v>138</v>
      </c>
      <c r="D1" s="236"/>
      <c r="E1" s="236"/>
      <c r="F1" s="236"/>
      <c r="G1" s="236"/>
      <c r="H1" s="236"/>
      <c r="I1" s="236"/>
      <c r="J1" s="236"/>
      <c r="K1" s="116"/>
      <c r="L1" s="116"/>
    </row>
    <row r="2" spans="1:12" s="1" customFormat="1" ht="36" customHeight="1">
      <c r="A2" s="93"/>
      <c r="B2" s="90"/>
      <c r="C2" s="239" t="str">
        <f>DmTitleRow01ForSheetHeaders</f>
        <v>TRAKTAMENTSRÄKNING</v>
      </c>
      <c r="D2" s="240"/>
      <c r="E2" s="240"/>
      <c r="F2" s="240"/>
      <c r="G2" s="240"/>
      <c r="H2" s="240"/>
      <c r="I2" s="240"/>
      <c r="J2" s="240"/>
      <c r="K2" s="90"/>
      <c r="L2" s="93"/>
    </row>
    <row r="3" spans="1:12" s="4" customFormat="1" ht="18" customHeight="1">
      <c r="A3" s="114"/>
      <c r="B3" s="115"/>
      <c r="C3" s="188">
        <f>DmTitleRow02ForSheetHeaders</f>
        <v>2023</v>
      </c>
      <c r="D3" s="241"/>
      <c r="E3" s="241"/>
      <c r="F3" s="241"/>
      <c r="G3" s="241"/>
      <c r="H3" s="241"/>
      <c r="I3" s="241"/>
      <c r="J3" s="241"/>
      <c r="K3" s="115"/>
      <c r="L3" s="114"/>
    </row>
    <row r="4" spans="1:12" s="4" customFormat="1" ht="12" customHeight="1">
      <c r="A4" s="114"/>
      <c r="B4" s="115"/>
      <c r="C4" s="141" t="str">
        <f>ALLOWANCE1!C4</f>
        <v>Företag</v>
      </c>
      <c r="D4" s="244" t="str">
        <f>ALLOWANCE1!D4</f>
        <v>Anställd</v>
      </c>
      <c r="E4" s="244"/>
      <c r="F4" s="244"/>
      <c r="G4" s="115"/>
      <c r="H4" s="248" t="str">
        <f>ALLOWANCE1!H4</f>
        <v>Redovisningsperiod</v>
      </c>
      <c r="I4" s="248"/>
      <c r="J4" s="142" t="str">
        <f>ALLOWANCE1!J4</f>
        <v>Räkningsnr</v>
      </c>
      <c r="K4" s="142"/>
      <c r="L4" s="114"/>
    </row>
    <row r="5" spans="1:12" s="4" customFormat="1" ht="18" customHeight="1">
      <c r="A5" s="114"/>
      <c r="B5" s="115"/>
      <c r="C5" s="140" t="str">
        <f>DmCompanyName</f>
        <v>MeraDoku AB</v>
      </c>
      <c r="D5" s="242" t="str">
        <f>DmEmployeeName</f>
        <v>Niklas Niklasson</v>
      </c>
      <c r="E5" s="242"/>
      <c r="F5" s="242"/>
      <c r="G5" s="115"/>
      <c r="H5" s="245" t="str">
        <f>BI!C20</f>
        <v>maj</v>
      </c>
      <c r="I5" s="245"/>
      <c r="J5" s="140">
        <v>2</v>
      </c>
      <c r="K5" s="115"/>
      <c r="L5" s="114"/>
    </row>
    <row r="6" spans="1:12" s="4" customFormat="1" ht="12" customHeight="1">
      <c r="A6" s="114"/>
      <c r="B6" s="115"/>
      <c r="C6" s="141" t="str">
        <f>ALLOWANCE1!C6</f>
        <v>Avdelning</v>
      </c>
      <c r="D6" s="244" t="str">
        <f>ALLOWANCE1!D6</f>
        <v>Anställningsnummer</v>
      </c>
      <c r="E6" s="244"/>
      <c r="F6" s="244"/>
      <c r="G6" s="115"/>
      <c r="H6" s="248" t="str">
        <f>ALLOWANCE1!H6</f>
        <v>Slutdatum i redovisningsperioden</v>
      </c>
      <c r="I6" s="246"/>
      <c r="J6" s="246"/>
      <c r="K6" s="115"/>
      <c r="L6" s="114"/>
    </row>
    <row r="7" spans="1:12" s="4" customFormat="1" ht="18" customHeight="1">
      <c r="A7" s="114"/>
      <c r="B7" s="115"/>
      <c r="C7" s="140" t="str">
        <f>DmDepartmentName</f>
        <v>Försäljning</v>
      </c>
      <c r="D7" s="242" t="str">
        <f>DmEmployeeNumber</f>
        <v>322</v>
      </c>
      <c r="E7" s="242"/>
      <c r="F7" s="242"/>
      <c r="G7" s="115"/>
      <c r="H7" s="237">
        <f>BI!C23</f>
        <v>45077</v>
      </c>
      <c r="I7" s="238"/>
      <c r="J7" s="238"/>
      <c r="K7" s="115"/>
      <c r="L7" s="114"/>
    </row>
    <row r="8" spans="1:12" s="4" customFormat="1" ht="10" customHeight="1">
      <c r="A8" s="114"/>
      <c r="B8" s="114"/>
      <c r="C8" s="243"/>
      <c r="D8" s="243"/>
      <c r="E8" s="243"/>
      <c r="F8" s="243"/>
      <c r="G8" s="243"/>
      <c r="H8" s="243"/>
      <c r="I8" s="243"/>
      <c r="J8" s="243"/>
      <c r="K8" s="114"/>
      <c r="L8" s="114"/>
    </row>
    <row r="9" spans="1:12" s="4" customFormat="1" ht="10" customHeight="1">
      <c r="A9" s="114"/>
      <c r="B9" s="115"/>
      <c r="C9" s="247"/>
      <c r="D9" s="247"/>
      <c r="E9" s="247"/>
      <c r="F9" s="247"/>
      <c r="G9" s="247"/>
      <c r="H9" s="247"/>
      <c r="I9" s="247"/>
      <c r="J9" s="247"/>
      <c r="K9" s="115"/>
      <c r="L9" s="114"/>
    </row>
    <row r="10" spans="1:12" ht="20.25" customHeight="1">
      <c r="A10" s="116"/>
      <c r="B10" s="117"/>
      <c r="C10" s="49" t="s">
        <v>126</v>
      </c>
      <c r="D10" s="224" t="s">
        <v>122</v>
      </c>
      <c r="E10" s="225"/>
      <c r="F10" s="225"/>
      <c r="G10" s="50"/>
      <c r="H10" s="224" t="str">
        <f>IF(EXTDAT!$C$38=TRUE,"Normalbelopp reducerat till 70% !","")</f>
        <v/>
      </c>
      <c r="I10" s="228"/>
      <c r="J10" s="229"/>
      <c r="K10" s="117"/>
      <c r="L10" s="116"/>
    </row>
    <row r="11" spans="1:12" ht="14.25" customHeight="1">
      <c r="A11" s="116"/>
      <c r="B11" s="117"/>
      <c r="C11" s="51" t="s">
        <v>113</v>
      </c>
      <c r="D11" s="220" t="s">
        <v>14</v>
      </c>
      <c r="E11" s="221"/>
      <c r="F11" s="220" t="s">
        <v>16</v>
      </c>
      <c r="G11" s="221"/>
      <c r="H11" s="216" t="s">
        <v>114</v>
      </c>
      <c r="I11" s="216" t="s">
        <v>115</v>
      </c>
      <c r="J11" s="222" t="s">
        <v>116</v>
      </c>
      <c r="K11" s="117"/>
      <c r="L11" s="116"/>
    </row>
    <row r="12" spans="1:12" ht="11.25" customHeight="1">
      <c r="A12" s="116"/>
      <c r="B12" s="117"/>
      <c r="C12" s="52"/>
      <c r="D12" s="5" t="s">
        <v>13</v>
      </c>
      <c r="E12" s="5" t="s">
        <v>15</v>
      </c>
      <c r="F12" s="5" t="s">
        <v>13</v>
      </c>
      <c r="G12" s="5" t="s">
        <v>15</v>
      </c>
      <c r="H12" s="217"/>
      <c r="I12" s="217"/>
      <c r="J12" s="223"/>
      <c r="K12" s="117"/>
      <c r="L12" s="116"/>
    </row>
    <row r="13" spans="1:12" ht="20.25" customHeight="1">
      <c r="A13" s="116"/>
      <c r="B13" s="117"/>
      <c r="C13" s="212"/>
      <c r="D13" s="13"/>
      <c r="E13" s="7"/>
      <c r="F13" s="6"/>
      <c r="G13" s="8"/>
      <c r="H13" s="15">
        <f>ValidAllowanceDays21</f>
        <v>0</v>
      </c>
      <c r="I13" s="40">
        <f>IF(D13&gt;0,IF(EXTDAT!$C$38=FALSE,EXTDAT!$D$301,EXTDAT!$E$301),0)</f>
        <v>0</v>
      </c>
      <c r="J13" s="57">
        <f>IF(F13&gt;0,IF(EXTDAT!$C$38=FALSE,H13*I13,FLOOR(H13,1)*I13),0)</f>
        <v>0</v>
      </c>
      <c r="K13" s="117"/>
      <c r="L13" s="116"/>
    </row>
    <row r="14" spans="1:12" ht="26.25" customHeight="1">
      <c r="A14" s="116"/>
      <c r="B14" s="117"/>
      <c r="C14" s="212"/>
      <c r="D14" s="218" t="s">
        <v>279</v>
      </c>
      <c r="E14" s="219"/>
      <c r="F14" s="219"/>
      <c r="G14" s="21"/>
      <c r="H14" s="89" t="str">
        <f>IF(EXTDAT!C45=TRUE,IF(Accomodations21&gt;0,Accomodations21,""),"")</f>
        <v/>
      </c>
      <c r="I14" s="82"/>
      <c r="J14" s="83">
        <f>EXTDAT!E45</f>
        <v>0</v>
      </c>
      <c r="K14" s="117"/>
      <c r="L14" s="116"/>
    </row>
    <row r="15" spans="1:12" ht="26.25" customHeight="1">
      <c r="A15" s="116"/>
      <c r="B15" s="117"/>
      <c r="C15" s="212"/>
      <c r="D15" s="218" t="s">
        <v>174</v>
      </c>
      <c r="E15" s="219"/>
      <c r="F15" s="219"/>
      <c r="G15" s="21"/>
      <c r="H15" s="74" t="str">
        <f>IF(EXTDAT!$E$38=TRUE,"Måltider
heldagar","")</f>
        <v/>
      </c>
      <c r="I15" s="74" t="str">
        <f>IF(D13&lt;&gt;"",IF(EXTDAT!$E$38=TRUE,IF(OR(DepartureTime21&gt;=DepartureTimeThresholdHalf,ArrivalTime21&lt;=ArrivalTimeThresholdHalf),"Måltider
halvdagar","Lämnas
tom"),""),"")</f>
        <v/>
      </c>
      <c r="J15" s="75" t="str">
        <f>IF(EXTDAT!$E$38=TRUE,"Minskning
för kost","")</f>
        <v/>
      </c>
      <c r="K15" s="117"/>
      <c r="L15" s="116"/>
    </row>
    <row r="16" spans="1:12" ht="20.25" customHeight="1">
      <c r="A16" s="116"/>
      <c r="B16" s="117"/>
      <c r="C16" s="249"/>
      <c r="D16" s="233" t="str">
        <f>IF(EXTDAT!$E$38=TRUE,"Antal erhållna fria frukostar under vistelsen","")</f>
        <v/>
      </c>
      <c r="E16" s="234"/>
      <c r="F16" s="234"/>
      <c r="G16" s="235"/>
      <c r="H16" s="10"/>
      <c r="I16" s="42"/>
      <c r="J16" s="53">
        <f>IF(J13&gt;0,IF(EXTDAT!$E$38=FALSE,0,IF(EXTDAT!$C$38=FALSE,IF(OR(DepartureTime21&gt;=DepartureTimeThresholdHalf,ArrivalTime21&lt;=ArrivalTimeThresholdHalf),(ROUND(H16*Breakfast+I16*BreakfastRedHalf,0)*-1),(ROUND(H16*Breakfast,0)*-1)),(ROUND(H16*BreakfastRed,0)*-1))),0)</f>
        <v>0</v>
      </c>
      <c r="K16" s="117"/>
      <c r="L16" s="116"/>
    </row>
    <row r="17" spans="1:12" ht="20.25" customHeight="1">
      <c r="A17" s="116"/>
      <c r="B17" s="117"/>
      <c r="C17" s="58"/>
      <c r="D17" s="233" t="str">
        <f>IF(EXTDAT!$E$38=TRUE,"Antal erhållna fria luncher under vistelsen","")</f>
        <v/>
      </c>
      <c r="E17" s="234"/>
      <c r="F17" s="234"/>
      <c r="G17" s="235"/>
      <c r="H17" s="10"/>
      <c r="I17" s="42"/>
      <c r="J17" s="53">
        <f>IF(J13&gt;0,IF(EXTDAT!$E$38=FALSE,0,IF(EXTDAT!$C$38=FALSE,IF(OR(DepartureTime21&gt;=DepartureTimeThresholdHalf,ArrivalTime21&lt;=ArrivalTimeThresholdHalf),(ROUND(H17*Lunch+I17*LunchRedHalf,0)*-1),(ROUND(H17*Lunch,0)*-1)),(ROUND(H17*LunchRed,0)*-1))),0)</f>
        <v>0</v>
      </c>
      <c r="K17" s="117"/>
      <c r="L17" s="116"/>
    </row>
    <row r="18" spans="1:12" ht="20.25" customHeight="1">
      <c r="A18" s="116"/>
      <c r="B18" s="117"/>
      <c r="C18" s="54"/>
      <c r="D18" s="230" t="str">
        <f>IF(EXTDAT!$E$38=TRUE,"Antal erhållna fria middagar under vistelsen","")</f>
        <v/>
      </c>
      <c r="E18" s="231"/>
      <c r="F18" s="231"/>
      <c r="G18" s="232"/>
      <c r="H18" s="55"/>
      <c r="I18" s="59"/>
      <c r="J18" s="56">
        <f>IF(J13&gt;0,IF(EXTDAT!$E$38=FALSE,0,IF(EXTDAT!$C$38=FALSE,IF(OR(DepartureTime21&gt;=DepartureTimeThresholdHalf,ArrivalTime21&lt;=ArrivalTimeThresholdHalf),(ROUND(H18*Dinner+I18*DinnerRedHalf,0)*-1),(ROUND(H18*Dinner,0)*-1)),(ROUND(H18*DinnerRed,0)*-1))),0)</f>
        <v>0</v>
      </c>
      <c r="K18" s="117"/>
      <c r="L18" s="116"/>
    </row>
    <row r="19" spans="1:12" ht="20.25" customHeight="1">
      <c r="A19" s="116"/>
      <c r="B19" s="117"/>
      <c r="C19" s="214" t="s">
        <v>124</v>
      </c>
      <c r="D19" s="215"/>
      <c r="E19" s="215"/>
      <c r="F19" s="215"/>
      <c r="G19" s="215"/>
      <c r="H19" s="215"/>
      <c r="I19" s="215"/>
      <c r="J19" s="48">
        <f>J13+J14+J16+J17+J18</f>
        <v>0</v>
      </c>
      <c r="K19" s="117"/>
      <c r="L19" s="116"/>
    </row>
    <row r="20" spans="1:12" ht="10" customHeight="1">
      <c r="A20" s="116"/>
      <c r="B20" s="117"/>
      <c r="C20" s="191"/>
      <c r="D20" s="191"/>
      <c r="E20" s="191"/>
      <c r="F20" s="191"/>
      <c r="G20" s="191"/>
      <c r="H20" s="191"/>
      <c r="I20" s="191"/>
      <c r="J20" s="191"/>
      <c r="K20" s="117"/>
      <c r="L20" s="116"/>
    </row>
    <row r="21" spans="1:12" ht="20.25" customHeight="1">
      <c r="A21" s="116"/>
      <c r="B21" s="117"/>
      <c r="C21" s="49" t="s">
        <v>127</v>
      </c>
      <c r="D21" s="224" t="str">
        <f>D10</f>
        <v>Bocka i om resan avser tid efter tre månader</v>
      </c>
      <c r="E21" s="225"/>
      <c r="F21" s="225"/>
      <c r="G21" s="50"/>
      <c r="H21" s="224" t="str">
        <f>IF(EXTDAT!$C$39=TRUE,"Normalbelopp reducerat till 70% !","")</f>
        <v/>
      </c>
      <c r="I21" s="228"/>
      <c r="J21" s="229"/>
      <c r="K21" s="117"/>
      <c r="L21" s="116"/>
    </row>
    <row r="22" spans="1:12" ht="14.25" customHeight="1">
      <c r="A22" s="116"/>
      <c r="B22" s="117"/>
      <c r="C22" s="51" t="s">
        <v>113</v>
      </c>
      <c r="D22" s="220" t="s">
        <v>14</v>
      </c>
      <c r="E22" s="221"/>
      <c r="F22" s="220" t="s">
        <v>16</v>
      </c>
      <c r="G22" s="221"/>
      <c r="H22" s="216" t="s">
        <v>114</v>
      </c>
      <c r="I22" s="216" t="s">
        <v>115</v>
      </c>
      <c r="J22" s="222" t="s">
        <v>116</v>
      </c>
      <c r="K22" s="117"/>
      <c r="L22" s="116"/>
    </row>
    <row r="23" spans="1:12" ht="11.25" customHeight="1">
      <c r="A23" s="116"/>
      <c r="B23" s="117"/>
      <c r="C23" s="52"/>
      <c r="D23" s="5" t="s">
        <v>13</v>
      </c>
      <c r="E23" s="5" t="s">
        <v>15</v>
      </c>
      <c r="F23" s="5" t="s">
        <v>13</v>
      </c>
      <c r="G23" s="5" t="s">
        <v>15</v>
      </c>
      <c r="H23" s="217"/>
      <c r="I23" s="217"/>
      <c r="J23" s="223"/>
      <c r="K23" s="117"/>
      <c r="L23" s="116"/>
    </row>
    <row r="24" spans="1:12" ht="20.25" customHeight="1">
      <c r="A24" s="116"/>
      <c r="B24" s="117"/>
      <c r="C24" s="212"/>
      <c r="D24" s="13"/>
      <c r="E24" s="7"/>
      <c r="F24" s="6"/>
      <c r="G24" s="8"/>
      <c r="H24" s="15">
        <f>IF(D24&lt;&gt;"",ValidAllowanceDays22,0)</f>
        <v>0</v>
      </c>
      <c r="I24" s="40">
        <f>IF(D24&gt;0,IF(EXTDAT!$C$39=FALSE,EXTDAT!$D$301,EXTDAT!$E$301),0)</f>
        <v>0</v>
      </c>
      <c r="J24" s="57">
        <f>IF(F24&gt;0,IF(EXTDAT!$C$39=FALSE,H24*I24,FLOOR(H24,1)*I24),0)</f>
        <v>0</v>
      </c>
      <c r="K24" s="117"/>
      <c r="L24" s="116"/>
    </row>
    <row r="25" spans="1:12" ht="26.25" customHeight="1">
      <c r="A25" s="116"/>
      <c r="B25" s="117"/>
      <c r="C25" s="212"/>
      <c r="D25" s="218" t="s">
        <v>279</v>
      </c>
      <c r="E25" s="219"/>
      <c r="F25" s="219"/>
      <c r="G25" s="21"/>
      <c r="H25" s="85" t="str">
        <f>IF(EXTDAT!C46=TRUE,IF(Accomodations22&gt;0,Accomodations22,""),"")</f>
        <v/>
      </c>
      <c r="I25" s="82"/>
      <c r="J25" s="83">
        <f>EXTDAT!E46</f>
        <v>0</v>
      </c>
      <c r="K25" s="117"/>
      <c r="L25" s="116"/>
    </row>
    <row r="26" spans="1:12" ht="26.25" customHeight="1">
      <c r="A26" s="116"/>
      <c r="B26" s="117"/>
      <c r="C26" s="212"/>
      <c r="D26" s="218" t="str">
        <f>D15</f>
        <v>Bocka i om arbetsgivaren bekostat måltidskostnader under tjänsteresan</v>
      </c>
      <c r="E26" s="219"/>
      <c r="F26" s="219"/>
      <c r="G26" s="21"/>
      <c r="H26" s="74" t="str">
        <f>IF(EXTDAT!$E$39=TRUE,"Måltider
heldagar","")</f>
        <v/>
      </c>
      <c r="I26" s="74" t="str">
        <f>IF(D24&lt;&gt;"",IF(EXTDAT!$E$39=TRUE,IF(OR(DepartureTime22&gt;=DepartureTimeThresholdHalf,ArrivalTime22&lt;=ArrivalTimeThresholdHalf),"Måltider
halvdagar","Lämnas
tom"),""),"")</f>
        <v/>
      </c>
      <c r="J26" s="75" t="str">
        <f>IF(EXTDAT!$E$39=TRUE,"Minskning
för kost","")</f>
        <v/>
      </c>
      <c r="K26" s="117"/>
      <c r="L26" s="116"/>
    </row>
    <row r="27" spans="1:12" ht="20.25" customHeight="1">
      <c r="A27" s="116"/>
      <c r="B27" s="117"/>
      <c r="C27" s="213"/>
      <c r="D27" s="233" t="str">
        <f>IF(EXTDAT!$E$39=TRUE,"Antal erhållna fria frukostar under vistelsen","")</f>
        <v/>
      </c>
      <c r="E27" s="234"/>
      <c r="F27" s="234"/>
      <c r="G27" s="235"/>
      <c r="H27" s="10"/>
      <c r="I27" s="42"/>
      <c r="J27" s="53">
        <f>IF(J24&gt;0,IF(EXTDAT!$E$39=FALSE,0,IF(EXTDAT!$C$39=FALSE,IF(OR(DepartureTime22&gt;=DepartureTimeThresholdHalf,ArrivalTime22&lt;=ArrivalTimeThresholdHalf),(ROUND(H27*Breakfast+I27*BreakfastRedHalf,0)*-1),(ROUND(H27*Breakfast,0)*-1)),(ROUND(H27*BreakfastRed,0)*-1))),0)</f>
        <v>0</v>
      </c>
      <c r="K27" s="117"/>
      <c r="L27" s="116"/>
    </row>
    <row r="28" spans="1:12" ht="20.25" customHeight="1">
      <c r="A28" s="116"/>
      <c r="B28" s="117"/>
      <c r="C28" s="51"/>
      <c r="D28" s="233" t="str">
        <f>IF(EXTDAT!$E$39=TRUE,"Antal erhållna fria luncher under vistelsen","")</f>
        <v/>
      </c>
      <c r="E28" s="234"/>
      <c r="F28" s="234"/>
      <c r="G28" s="235"/>
      <c r="H28" s="10"/>
      <c r="I28" s="42"/>
      <c r="J28" s="53">
        <f>IF(J24&gt;0,IF(EXTDAT!$E$39=FALSE,0,IF(EXTDAT!$C$39=FALSE,IF(OR(DepartureTime22&gt;=DepartureTimeThresholdHalf,ArrivalTime22&lt;=ArrivalTimeThresholdHalf),(ROUND(H28*Lunch+I28*LunchRedHalf,0)*-1),(ROUND(H28*Lunch,0)*-1)),(ROUND(H28*LunchRed,0)*-1))),0)</f>
        <v>0</v>
      </c>
      <c r="K28" s="117"/>
      <c r="L28" s="116"/>
    </row>
    <row r="29" spans="1:12" ht="20.25" customHeight="1">
      <c r="A29" s="116"/>
      <c r="B29" s="117"/>
      <c r="C29" s="54"/>
      <c r="D29" s="230" t="str">
        <f>IF(EXTDAT!$E$39=TRUE,"Antal erhållna fria middagar under vistelsen","")</f>
        <v/>
      </c>
      <c r="E29" s="231"/>
      <c r="F29" s="231"/>
      <c r="G29" s="232"/>
      <c r="H29" s="55"/>
      <c r="I29" s="59"/>
      <c r="J29" s="56">
        <f>IF(J24&gt;0,IF(EXTDAT!$E$39=FALSE,0,IF(EXTDAT!$C$39=FALSE,IF(OR(DepartureTime22&gt;=DepartureTimeThresholdHalf,ArrivalTime22&lt;=ArrivalTimeThresholdHalf),(ROUND(H29*Dinner+I29*DinnerRedHalf,0)*-1),(ROUND(H29*Dinner,0)*-1)),(ROUND(H29*DinnerRed,0)*-1))),0)</f>
        <v>0</v>
      </c>
      <c r="K29" s="117"/>
      <c r="L29" s="116"/>
    </row>
    <row r="30" spans="1:12" ht="20.25" customHeight="1">
      <c r="A30" s="116"/>
      <c r="B30" s="117"/>
      <c r="C30" s="214" t="s">
        <v>124</v>
      </c>
      <c r="D30" s="215"/>
      <c r="E30" s="215"/>
      <c r="F30" s="215"/>
      <c r="G30" s="215"/>
      <c r="H30" s="215"/>
      <c r="I30" s="215"/>
      <c r="J30" s="48">
        <f>J24+J25+J27+J28+J29</f>
        <v>0</v>
      </c>
      <c r="K30" s="117"/>
      <c r="L30" s="116"/>
    </row>
    <row r="31" spans="1:12" ht="10" customHeight="1">
      <c r="A31" s="116"/>
      <c r="B31" s="117"/>
      <c r="C31" s="191"/>
      <c r="D31" s="191"/>
      <c r="E31" s="191"/>
      <c r="F31" s="191"/>
      <c r="G31" s="191"/>
      <c r="H31" s="191"/>
      <c r="I31" s="191"/>
      <c r="J31" s="191"/>
      <c r="K31" s="117"/>
      <c r="L31" s="116"/>
    </row>
    <row r="32" spans="1:12" ht="20.25" customHeight="1">
      <c r="A32" s="116"/>
      <c r="B32" s="117"/>
      <c r="C32" s="49" t="s">
        <v>128</v>
      </c>
      <c r="D32" s="224" t="str">
        <f>D10</f>
        <v>Bocka i om resan avser tid efter tre månader</v>
      </c>
      <c r="E32" s="225"/>
      <c r="F32" s="225"/>
      <c r="G32" s="50"/>
      <c r="H32" s="224" t="str">
        <f>IF(EXTDAT!$C$40=TRUE,"Normalbelopp reducerat till 70% !","")</f>
        <v/>
      </c>
      <c r="I32" s="228"/>
      <c r="J32" s="229"/>
      <c r="K32" s="117"/>
      <c r="L32" s="116"/>
    </row>
    <row r="33" spans="1:12" ht="14.25" customHeight="1">
      <c r="A33" s="116"/>
      <c r="B33" s="117"/>
      <c r="C33" s="51" t="s">
        <v>113</v>
      </c>
      <c r="D33" s="220" t="s">
        <v>14</v>
      </c>
      <c r="E33" s="221"/>
      <c r="F33" s="220" t="s">
        <v>16</v>
      </c>
      <c r="G33" s="221"/>
      <c r="H33" s="216" t="s">
        <v>114</v>
      </c>
      <c r="I33" s="216" t="s">
        <v>115</v>
      </c>
      <c r="J33" s="222" t="s">
        <v>116</v>
      </c>
      <c r="K33" s="117"/>
      <c r="L33" s="116"/>
    </row>
    <row r="34" spans="1:12" ht="11.25" customHeight="1">
      <c r="A34" s="116"/>
      <c r="B34" s="117"/>
      <c r="C34" s="52"/>
      <c r="D34" s="5" t="s">
        <v>13</v>
      </c>
      <c r="E34" s="5" t="s">
        <v>15</v>
      </c>
      <c r="F34" s="5" t="s">
        <v>13</v>
      </c>
      <c r="G34" s="5" t="s">
        <v>15</v>
      </c>
      <c r="H34" s="217"/>
      <c r="I34" s="217"/>
      <c r="J34" s="223"/>
      <c r="K34" s="117"/>
      <c r="L34" s="116"/>
    </row>
    <row r="35" spans="1:12" ht="20.25" customHeight="1">
      <c r="A35" s="116"/>
      <c r="B35" s="117"/>
      <c r="C35" s="212"/>
      <c r="D35" s="13"/>
      <c r="E35" s="7"/>
      <c r="F35" s="6"/>
      <c r="G35" s="8"/>
      <c r="H35" s="15">
        <f>IF(D35&lt;&gt;"",ValidAllowanceDays23,0)</f>
        <v>0</v>
      </c>
      <c r="I35" s="40">
        <f>IF(D35&gt;0,IF(EXTDAT!$C$40=FALSE,EXTDAT!$D$301,EXTDAT!$E$301),0)</f>
        <v>0</v>
      </c>
      <c r="J35" s="57">
        <f>IF(F35&gt;0,IF(EXTDAT!$C$40=FALSE,H35*I35,FLOOR(H35,1)*I35),0)</f>
        <v>0</v>
      </c>
      <c r="K35" s="117"/>
      <c r="L35" s="116"/>
    </row>
    <row r="36" spans="1:12" ht="26.25" customHeight="1">
      <c r="A36" s="116"/>
      <c r="B36" s="117"/>
      <c r="C36" s="212"/>
      <c r="D36" s="218" t="s">
        <v>279</v>
      </c>
      <c r="E36" s="219"/>
      <c r="F36" s="219"/>
      <c r="G36" s="21"/>
      <c r="H36" s="85" t="str">
        <f>IF(EXTDAT!C47=TRUE,IF(Accomodations23&gt;0,Accomodations23,""),"")</f>
        <v/>
      </c>
      <c r="I36" s="82"/>
      <c r="J36" s="83">
        <f>EXTDAT!E47</f>
        <v>0</v>
      </c>
      <c r="K36" s="117"/>
      <c r="L36" s="116"/>
    </row>
    <row r="37" spans="1:12" ht="26.25" customHeight="1">
      <c r="A37" s="116"/>
      <c r="B37" s="117"/>
      <c r="C37" s="212"/>
      <c r="D37" s="218" t="str">
        <f>D15</f>
        <v>Bocka i om arbetsgivaren bekostat måltidskostnader under tjänsteresan</v>
      </c>
      <c r="E37" s="219"/>
      <c r="F37" s="219"/>
      <c r="G37" s="21"/>
      <c r="H37" s="74" t="str">
        <f>IF(EXTDAT!$E$40=TRUE,"Måltider
heldagar","")</f>
        <v/>
      </c>
      <c r="I37" s="74" t="str">
        <f>IF(D35&lt;&gt;"",IF(EXTDAT!$E$40=TRUE,IF(OR(DepartureTime23&gt;=DepartureTimeThresholdHalf,ArrivalTime23&lt;=ArrivalTimeThresholdHalf),"Måltider
halvdagar","Lämnas
tom"),""),"")</f>
        <v/>
      </c>
      <c r="J37" s="75" t="str">
        <f>IF(EXTDAT!$E$40=TRUE,"Minskning
för kost","")</f>
        <v/>
      </c>
      <c r="K37" s="117"/>
      <c r="L37" s="116"/>
    </row>
    <row r="38" spans="1:12" ht="20.25" customHeight="1">
      <c r="A38" s="116"/>
      <c r="B38" s="117"/>
      <c r="C38" s="213"/>
      <c r="D38" s="233" t="str">
        <f>IF(EXTDAT!$E$40=TRUE,"Antal erhållna fria frukostar under vistelsen","")</f>
        <v/>
      </c>
      <c r="E38" s="234"/>
      <c r="F38" s="234"/>
      <c r="G38" s="235"/>
      <c r="H38" s="10"/>
      <c r="I38" s="42"/>
      <c r="J38" s="53">
        <f>IF(J35&gt;0,IF(EXTDAT!$E$40=FALSE,0,IF(EXTDAT!$C$40=FALSE,IF(OR(DepartureTime23&gt;=DepartureTimeThresholdHalf,ArrivalTime23&lt;=ArrivalTimeThresholdHalf),(ROUND(H38*Breakfast+I38*BreakfastRedHalf,0)*-1),(ROUND(H38*Breakfast,0)*-1)),(ROUND(H38*BreakfastRed,0)*-1))),0)</f>
        <v>0</v>
      </c>
      <c r="K38" s="117"/>
      <c r="L38" s="116"/>
    </row>
    <row r="39" spans="1:12" ht="20.25" customHeight="1">
      <c r="A39" s="116"/>
      <c r="B39" s="117"/>
      <c r="C39" s="51"/>
      <c r="D39" s="233" t="str">
        <f>IF(EXTDAT!$E$40=TRUE,"Antal erhållna fria luncher under vistelsen","")</f>
        <v/>
      </c>
      <c r="E39" s="234"/>
      <c r="F39" s="234"/>
      <c r="G39" s="235"/>
      <c r="H39" s="10"/>
      <c r="I39" s="42"/>
      <c r="J39" s="53">
        <f>IF(J35&gt;0,IF(EXTDAT!$E$40=FALSE,0,IF(EXTDAT!$C$40=FALSE,IF(OR(DepartureTime23&gt;=DepartureTimeThresholdHalf,ArrivalTime23&lt;=ArrivalTimeThresholdHalf),(ROUND(H39*Lunch+I39*LunchRedHalf,0)*-1),(ROUND(H39*Lunch,0)*-1)),(ROUND(H39*LunchRed,0)*-1))),0)</f>
        <v>0</v>
      </c>
      <c r="K39" s="117"/>
      <c r="L39" s="116"/>
    </row>
    <row r="40" spans="1:12" ht="20.25" customHeight="1">
      <c r="A40" s="116"/>
      <c r="B40" s="117"/>
      <c r="C40" s="54"/>
      <c r="D40" s="230" t="str">
        <f>IF(EXTDAT!$E$40=TRUE,"Antal erhållna fria middagar under vistelsen","")</f>
        <v/>
      </c>
      <c r="E40" s="231"/>
      <c r="F40" s="231"/>
      <c r="G40" s="232"/>
      <c r="H40" s="55"/>
      <c r="I40" s="59"/>
      <c r="J40" s="56">
        <f>IF(J35&gt;0,IF(EXTDAT!$E$40=FALSE,0,IF(EXTDAT!$C$40=FALSE,IF(OR(DepartureTime23&gt;=DepartureTimeThresholdHalf,ArrivalTime23&lt;=ArrivalTimeThresholdHalf),(ROUND(H40*Dinner+I40*DinnerRedHalf,0)*-1),(ROUND(H40*Dinner,0)*-1)),(ROUND(H40*DinnerRed,0)*-1))),0)</f>
        <v>0</v>
      </c>
      <c r="K40" s="117"/>
      <c r="L40" s="116"/>
    </row>
    <row r="41" spans="1:12" ht="20.25" customHeight="1">
      <c r="A41" s="116"/>
      <c r="B41" s="117"/>
      <c r="C41" s="214" t="s">
        <v>124</v>
      </c>
      <c r="D41" s="215"/>
      <c r="E41" s="215"/>
      <c r="F41" s="215"/>
      <c r="G41" s="215"/>
      <c r="H41" s="215"/>
      <c r="I41" s="215"/>
      <c r="J41" s="48">
        <f>J35+J36+J38+J39+J40</f>
        <v>0</v>
      </c>
      <c r="K41" s="117"/>
      <c r="L41" s="116"/>
    </row>
    <row r="42" spans="1:12" ht="10" customHeight="1">
      <c r="A42" s="116"/>
      <c r="B42" s="117"/>
      <c r="C42" s="191"/>
      <c r="D42" s="191"/>
      <c r="E42" s="191"/>
      <c r="F42" s="191"/>
      <c r="G42" s="191"/>
      <c r="H42" s="191"/>
      <c r="I42" s="191"/>
      <c r="J42" s="191"/>
      <c r="K42" s="117"/>
      <c r="L42" s="116"/>
    </row>
    <row r="43" spans="1:12" ht="20.25" customHeight="1">
      <c r="A43" s="116"/>
      <c r="B43" s="117"/>
      <c r="C43" s="47" t="s">
        <v>129</v>
      </c>
      <c r="D43" s="210" t="str">
        <f>D10</f>
        <v>Bocka i om resan avser tid efter tre månader</v>
      </c>
      <c r="E43" s="211"/>
      <c r="F43" s="211"/>
      <c r="G43" s="21"/>
      <c r="H43" s="210" t="str">
        <f>IF(EXTDAT!$C$41=TRUE,"Normalbelopp reducerat till 70% !","")</f>
        <v/>
      </c>
      <c r="I43" s="226"/>
      <c r="J43" s="227"/>
      <c r="K43" s="117"/>
      <c r="L43" s="116"/>
    </row>
    <row r="44" spans="1:12" ht="14.25" customHeight="1">
      <c r="A44" s="116"/>
      <c r="B44" s="117"/>
      <c r="C44" s="60" t="s">
        <v>113</v>
      </c>
      <c r="D44" s="192" t="s">
        <v>14</v>
      </c>
      <c r="E44" s="193"/>
      <c r="F44" s="192" t="s">
        <v>16</v>
      </c>
      <c r="G44" s="193"/>
      <c r="H44" s="194" t="s">
        <v>114</v>
      </c>
      <c r="I44" s="194" t="s">
        <v>115</v>
      </c>
      <c r="J44" s="194" t="s">
        <v>116</v>
      </c>
      <c r="K44" s="117"/>
      <c r="L44" s="116"/>
    </row>
    <row r="45" spans="1:12" ht="11.25" customHeight="1">
      <c r="A45" s="116"/>
      <c r="B45" s="117"/>
      <c r="C45" s="14"/>
      <c r="D45" s="61" t="s">
        <v>13</v>
      </c>
      <c r="E45" s="61" t="s">
        <v>15</v>
      </c>
      <c r="F45" s="61" t="s">
        <v>13</v>
      </c>
      <c r="G45" s="61" t="s">
        <v>15</v>
      </c>
      <c r="H45" s="195"/>
      <c r="I45" s="195"/>
      <c r="J45" s="195"/>
      <c r="K45" s="117"/>
      <c r="L45" s="116"/>
    </row>
    <row r="46" spans="1:12" ht="20.25" customHeight="1">
      <c r="A46" s="116"/>
      <c r="B46" s="117"/>
      <c r="C46" s="203"/>
      <c r="D46" s="13"/>
      <c r="E46" s="7"/>
      <c r="F46" s="6"/>
      <c r="G46" s="8"/>
      <c r="H46" s="15">
        <f>IF(D46&lt;&gt;"",ValidAllowanceDays24,0)</f>
        <v>0</v>
      </c>
      <c r="I46" s="40">
        <f>IF(C51&lt;&gt;"",IF(EXTDAT!$C$41=FALSE,(VLOOKUP(C51,EXTDAT!$C$130:$E$300,2,FALSE)),(VLOOKUP(C51,EXTDAT!$C$130:$E$300,3,FALSE))),0)</f>
        <v>0</v>
      </c>
      <c r="J46" s="41">
        <f>IF(F46&gt;0,H46*I46,0)</f>
        <v>0</v>
      </c>
      <c r="K46" s="117"/>
      <c r="L46" s="116"/>
    </row>
    <row r="47" spans="1:12" ht="26.25" customHeight="1">
      <c r="A47" s="116"/>
      <c r="B47" s="117"/>
      <c r="C47" s="203"/>
      <c r="D47" s="199" t="s">
        <v>279</v>
      </c>
      <c r="E47" s="200"/>
      <c r="F47" s="200"/>
      <c r="G47" s="21"/>
      <c r="H47" s="81" t="str">
        <f>IF(EXTDAT!C48=TRUE,IF(Accomodations24&gt;0,Accomodations24,""),"")</f>
        <v/>
      </c>
      <c r="I47" s="82"/>
      <c r="J47" s="88">
        <f>EXTDAT!E48</f>
        <v>0</v>
      </c>
      <c r="K47" s="117"/>
      <c r="L47" s="116"/>
    </row>
    <row r="48" spans="1:12" ht="26.25" customHeight="1">
      <c r="A48" s="116"/>
      <c r="B48" s="117"/>
      <c r="C48" s="203"/>
      <c r="D48" s="199" t="str">
        <f>D15</f>
        <v>Bocka i om arbetsgivaren bekostat måltidskostnader under tjänsteresan</v>
      </c>
      <c r="E48" s="200"/>
      <c r="F48" s="200"/>
      <c r="G48" s="21"/>
      <c r="H48" s="76" t="str">
        <f>IF(EXTDAT!$E$41=TRUE,"Måltider","")</f>
        <v/>
      </c>
      <c r="I48" s="74"/>
      <c r="J48" s="86" t="str">
        <f>IF(EXTDAT!$E$41=TRUE,"Minskning
för kost","")</f>
        <v/>
      </c>
      <c r="K48" s="117"/>
      <c r="L48" s="116"/>
    </row>
    <row r="49" spans="1:12" ht="20.25" customHeight="1">
      <c r="A49" s="116"/>
      <c r="B49" s="117"/>
      <c r="C49" s="204"/>
      <c r="D49" s="205" t="str">
        <f>IF(EXTDAT!$E$41=TRUE,"Antal erhållna fria frukostar under vistelsen","")</f>
        <v/>
      </c>
      <c r="E49" s="206"/>
      <c r="F49" s="206"/>
      <c r="G49" s="207"/>
      <c r="H49" s="10"/>
      <c r="I49" s="208"/>
      <c r="J49" s="11">
        <f>IF(J46&gt;0,IF(EXTDAT!$E$41=FALSE,0,(H49*ROUND($I$46*EXTDAT!D308,0))*-1),0)</f>
        <v>0</v>
      </c>
      <c r="K49" s="117"/>
      <c r="L49" s="116"/>
    </row>
    <row r="50" spans="1:12" ht="20.25" customHeight="1">
      <c r="A50" s="116"/>
      <c r="B50" s="117"/>
      <c r="C50" s="60" t="s">
        <v>98</v>
      </c>
      <c r="D50" s="205" t="str">
        <f>IF(EXTDAT!$E$41=TRUE,"Antal erhållna fria luncher under vistelsen","")</f>
        <v/>
      </c>
      <c r="E50" s="206"/>
      <c r="F50" s="206"/>
      <c r="G50" s="207"/>
      <c r="H50" s="10"/>
      <c r="I50" s="208"/>
      <c r="J50" s="11">
        <f>IF(J46&gt;0,IF(EXTDAT!$E$41=FALSE,0,(H50*ROUND($I$46*EXTDAT!D309,0))*-1),0)</f>
        <v>0</v>
      </c>
      <c r="K50" s="117"/>
      <c r="L50" s="116"/>
    </row>
    <row r="51" spans="1:12" ht="20.25" customHeight="1">
      <c r="A51" s="116"/>
      <c r="B51" s="117"/>
      <c r="C51" s="16" t="s">
        <v>117</v>
      </c>
      <c r="D51" s="205" t="str">
        <f>IF(EXTDAT!$E$41=TRUE,"Antal erhållna fria middagar under vistelsen","")</f>
        <v/>
      </c>
      <c r="E51" s="206"/>
      <c r="F51" s="206"/>
      <c r="G51" s="207"/>
      <c r="H51" s="12"/>
      <c r="I51" s="209"/>
      <c r="J51" s="11">
        <f>IF(J46&gt;0,IF(EXTDAT!$E$41=FALSE,0,(H51*ROUND($I$46*EXTDAT!D310,0))*-1),0)</f>
        <v>0</v>
      </c>
      <c r="K51" s="117"/>
      <c r="L51" s="116"/>
    </row>
    <row r="52" spans="1:12" ht="20.25" customHeight="1">
      <c r="A52" s="116"/>
      <c r="B52" s="117"/>
      <c r="C52" s="201" t="s">
        <v>124</v>
      </c>
      <c r="D52" s="202"/>
      <c r="E52" s="202"/>
      <c r="F52" s="202"/>
      <c r="G52" s="202"/>
      <c r="H52" s="202"/>
      <c r="I52" s="202"/>
      <c r="J52" s="20">
        <f>J46+J47+J49+J50+J51</f>
        <v>0</v>
      </c>
      <c r="K52" s="117"/>
      <c r="L52" s="116"/>
    </row>
    <row r="53" spans="1:12" ht="10" customHeight="1">
      <c r="A53" s="116"/>
      <c r="B53" s="117"/>
      <c r="C53" s="191"/>
      <c r="D53" s="191"/>
      <c r="E53" s="191"/>
      <c r="F53" s="191"/>
      <c r="G53" s="191"/>
      <c r="H53" s="191"/>
      <c r="I53" s="191"/>
      <c r="J53" s="191"/>
      <c r="K53" s="117"/>
      <c r="L53" s="116"/>
    </row>
    <row r="54" spans="1:12" ht="20.25" customHeight="1">
      <c r="A54" s="116"/>
      <c r="B54" s="117"/>
      <c r="C54" s="47" t="s">
        <v>130</v>
      </c>
      <c r="D54" s="210" t="str">
        <f>D10</f>
        <v>Bocka i om resan avser tid efter tre månader</v>
      </c>
      <c r="E54" s="211"/>
      <c r="F54" s="211"/>
      <c r="G54" s="21"/>
      <c r="H54" s="210" t="str">
        <f>IF(EXTDAT!$C$42=TRUE,"Normalbelopp reducerat till 70% !","")</f>
        <v/>
      </c>
      <c r="I54" s="226"/>
      <c r="J54" s="227"/>
      <c r="K54" s="117"/>
      <c r="L54" s="116"/>
    </row>
    <row r="55" spans="1:12" ht="14.25" customHeight="1">
      <c r="A55" s="116"/>
      <c r="B55" s="117"/>
      <c r="C55" s="60" t="s">
        <v>113</v>
      </c>
      <c r="D55" s="192" t="s">
        <v>14</v>
      </c>
      <c r="E55" s="193"/>
      <c r="F55" s="192" t="s">
        <v>16</v>
      </c>
      <c r="G55" s="193"/>
      <c r="H55" s="194" t="s">
        <v>114</v>
      </c>
      <c r="I55" s="194" t="s">
        <v>115</v>
      </c>
      <c r="J55" s="194" t="s">
        <v>116</v>
      </c>
      <c r="K55" s="117"/>
      <c r="L55" s="116"/>
    </row>
    <row r="56" spans="1:12" ht="11.25" customHeight="1">
      <c r="A56" s="116"/>
      <c r="B56" s="117"/>
      <c r="C56" s="14"/>
      <c r="D56" s="61" t="s">
        <v>13</v>
      </c>
      <c r="E56" s="61" t="s">
        <v>15</v>
      </c>
      <c r="F56" s="61" t="s">
        <v>13</v>
      </c>
      <c r="G56" s="61" t="s">
        <v>15</v>
      </c>
      <c r="H56" s="195"/>
      <c r="I56" s="195"/>
      <c r="J56" s="195"/>
      <c r="K56" s="117"/>
      <c r="L56" s="116"/>
    </row>
    <row r="57" spans="1:12" ht="20.25" customHeight="1">
      <c r="A57" s="116"/>
      <c r="B57" s="117"/>
      <c r="C57" s="203"/>
      <c r="D57" s="13"/>
      <c r="E57" s="7"/>
      <c r="F57" s="6"/>
      <c r="G57" s="8"/>
      <c r="H57" s="15">
        <f>IF(D57&lt;&gt;"",ValidAllowanceDays25,0)</f>
        <v>0</v>
      </c>
      <c r="I57" s="41">
        <f>IF(C62&lt;&gt;"",IF(EXTDAT!$C$42=FALSE,(VLOOKUP(C62,EXTDAT!$C$130:$E$300,2,FALSE)),(VLOOKUP(C62,EXTDAT!$C$130:$E$300,3,FALSE))),0)</f>
        <v>0</v>
      </c>
      <c r="J57" s="41">
        <f>IF(F57&gt;0,H57*I57,0)</f>
        <v>0</v>
      </c>
      <c r="K57" s="117"/>
      <c r="L57" s="116"/>
    </row>
    <row r="58" spans="1:12" ht="26.25" customHeight="1">
      <c r="A58" s="116"/>
      <c r="B58" s="117"/>
      <c r="C58" s="203"/>
      <c r="D58" s="199" t="s">
        <v>279</v>
      </c>
      <c r="E58" s="200"/>
      <c r="F58" s="200"/>
      <c r="G58" s="21"/>
      <c r="H58" s="85" t="str">
        <f>IF(EXTDAT!C49=TRUE,IF(Accomodations25&gt;0,Accomodations25,""),"")</f>
        <v/>
      </c>
      <c r="I58" s="82"/>
      <c r="J58" s="88">
        <f>EXTDAT!E49</f>
        <v>0</v>
      </c>
      <c r="K58" s="117"/>
      <c r="L58" s="116"/>
    </row>
    <row r="59" spans="1:12" ht="26.25" customHeight="1">
      <c r="A59" s="116"/>
      <c r="B59" s="117"/>
      <c r="C59" s="203"/>
      <c r="D59" s="199" t="str">
        <f>D26</f>
        <v>Bocka i om arbetsgivaren bekostat måltidskostnader under tjänsteresan</v>
      </c>
      <c r="E59" s="200"/>
      <c r="F59" s="200"/>
      <c r="G59" s="21"/>
      <c r="H59" s="76" t="str">
        <f>IF(EXTDAT!$E$42=TRUE,"Måltider","")</f>
        <v/>
      </c>
      <c r="I59" s="74"/>
      <c r="J59" s="86" t="str">
        <f>IF(EXTDAT!$E$42=TRUE,"Minskning
för kost","")</f>
        <v/>
      </c>
      <c r="K59" s="117"/>
      <c r="L59" s="116"/>
    </row>
    <row r="60" spans="1:12" ht="20.25" customHeight="1">
      <c r="A60" s="116"/>
      <c r="B60" s="117"/>
      <c r="C60" s="204"/>
      <c r="D60" s="205" t="str">
        <f>IF(EXTDAT!$E$42=TRUE,"Antal erhållna fria frukostar under vistelsen","")</f>
        <v/>
      </c>
      <c r="E60" s="206"/>
      <c r="F60" s="206"/>
      <c r="G60" s="207"/>
      <c r="H60" s="10"/>
      <c r="I60" s="208"/>
      <c r="J60" s="11">
        <f>IF(J57&gt;0,IF(EXTDAT!$E$42=FALSE,0,(H60*ROUND($I$57*EXTDAT!D308,0))*-1),0)</f>
        <v>0</v>
      </c>
      <c r="K60" s="117"/>
      <c r="L60" s="116"/>
    </row>
    <row r="61" spans="1:12" ht="20.25" customHeight="1">
      <c r="A61" s="116"/>
      <c r="B61" s="117"/>
      <c r="C61" s="60" t="s">
        <v>98</v>
      </c>
      <c r="D61" s="205" t="str">
        <f>IF(EXTDAT!$E$42=TRUE,"Antal erhållna fria luncher under vistelsen","")</f>
        <v/>
      </c>
      <c r="E61" s="206"/>
      <c r="F61" s="206"/>
      <c r="G61" s="207"/>
      <c r="H61" s="10"/>
      <c r="I61" s="208"/>
      <c r="J61" s="11">
        <f>IF(J57&gt;0,IF(EXTDAT!$E$42=FALSE,0,(H61*ROUND($I$57*EXTDAT!D309,0))*-1),0)</f>
        <v>0</v>
      </c>
      <c r="K61" s="117"/>
      <c r="L61" s="116"/>
    </row>
    <row r="62" spans="1:12" ht="20.25" customHeight="1">
      <c r="A62" s="116"/>
      <c r="B62" s="117"/>
      <c r="C62" s="16" t="s">
        <v>117</v>
      </c>
      <c r="D62" s="205" t="str">
        <f>IF(EXTDAT!$E$42=TRUE,"Antal erhållna fria middagar under vistelsen","")</f>
        <v/>
      </c>
      <c r="E62" s="206"/>
      <c r="F62" s="206"/>
      <c r="G62" s="207"/>
      <c r="H62" s="12"/>
      <c r="I62" s="209"/>
      <c r="J62" s="11">
        <f>IF(J57&gt;0,IF(EXTDAT!$E$42=FALSE,0,(H62*ROUND($I$57*EXTDAT!D310,0))*-1),0)</f>
        <v>0</v>
      </c>
      <c r="K62" s="117"/>
      <c r="L62" s="116"/>
    </row>
    <row r="63" spans="1:12" ht="20.25" customHeight="1">
      <c r="A63" s="116"/>
      <c r="B63" s="117"/>
      <c r="C63" s="201" t="s">
        <v>124</v>
      </c>
      <c r="D63" s="202"/>
      <c r="E63" s="202"/>
      <c r="F63" s="202"/>
      <c r="G63" s="202"/>
      <c r="H63" s="202"/>
      <c r="I63" s="202"/>
      <c r="J63" s="20">
        <f>J57+J58+J60+J61+J62</f>
        <v>0</v>
      </c>
      <c r="K63" s="117"/>
      <c r="L63" s="116"/>
    </row>
    <row r="64" spans="1:12" ht="10" customHeight="1">
      <c r="A64" s="116"/>
      <c r="B64" s="117"/>
      <c r="C64" s="189"/>
      <c r="D64" s="189"/>
      <c r="E64" s="189"/>
      <c r="F64" s="189"/>
      <c r="G64" s="189"/>
      <c r="H64" s="189"/>
      <c r="I64" s="189"/>
      <c r="J64" s="189"/>
      <c r="K64" s="117"/>
      <c r="L64" s="116"/>
    </row>
    <row r="65" spans="1:12" s="17" customFormat="1" ht="30" customHeight="1">
      <c r="A65" s="120"/>
      <c r="B65" s="118"/>
      <c r="C65" s="196" t="s">
        <v>277</v>
      </c>
      <c r="D65" s="197"/>
      <c r="E65" s="197"/>
      <c r="F65" s="197"/>
      <c r="G65" s="197" t="s">
        <v>278</v>
      </c>
      <c r="H65" s="197"/>
      <c r="I65" s="197"/>
      <c r="J65" s="198"/>
      <c r="K65" s="118"/>
      <c r="L65" s="120"/>
    </row>
    <row r="66" spans="1:12" s="17" customFormat="1" ht="10" customHeight="1">
      <c r="A66" s="120"/>
      <c r="B66" s="118"/>
      <c r="C66" s="119"/>
      <c r="D66" s="119"/>
      <c r="E66" s="119"/>
      <c r="F66" s="119"/>
      <c r="G66" s="119"/>
      <c r="H66" s="119"/>
      <c r="I66" s="119"/>
      <c r="J66" s="119"/>
      <c r="K66" s="118"/>
      <c r="L66" s="120"/>
    </row>
    <row r="67" spans="1:12" s="17" customFormat="1" ht="18" customHeight="1">
      <c r="A67" s="120"/>
      <c r="B67" s="120"/>
      <c r="C67" s="250"/>
      <c r="D67" s="250"/>
      <c r="E67" s="250"/>
      <c r="F67" s="250"/>
      <c r="G67" s="250"/>
      <c r="H67" s="250"/>
      <c r="I67" s="250"/>
      <c r="J67" s="250"/>
      <c r="K67" s="120"/>
      <c r="L67" s="120"/>
    </row>
    <row r="68" spans="1:12" s="17" customFormat="1" ht="20.25" customHeight="1">
      <c r="C68" s="18"/>
      <c r="D68" s="18"/>
      <c r="E68" s="18"/>
      <c r="F68" s="18"/>
      <c r="G68" s="18"/>
      <c r="H68" s="18"/>
      <c r="I68" s="18"/>
      <c r="J68" s="18"/>
    </row>
    <row r="69" spans="1:12" s="17" customFormat="1" ht="20.25" customHeight="1">
      <c r="C69" s="18"/>
      <c r="D69" s="18"/>
      <c r="E69" s="18"/>
      <c r="F69" s="18"/>
      <c r="G69" s="18"/>
      <c r="H69" s="18"/>
      <c r="I69" s="18"/>
      <c r="J69" s="18"/>
    </row>
    <row r="70" spans="1:12" s="17" customFormat="1" ht="20.25" customHeight="1">
      <c r="C70" s="18"/>
      <c r="D70" s="18"/>
      <c r="E70" s="18"/>
      <c r="F70" s="18"/>
      <c r="G70" s="18"/>
      <c r="H70" s="18"/>
      <c r="I70" s="18"/>
      <c r="J70" s="18"/>
    </row>
    <row r="71" spans="1:12" s="17" customFormat="1" ht="20.25" customHeight="1">
      <c r="C71" s="18"/>
      <c r="D71" s="18"/>
      <c r="E71" s="18"/>
      <c r="F71" s="18"/>
      <c r="G71" s="18"/>
      <c r="H71" s="18"/>
      <c r="I71" s="18"/>
      <c r="J71" s="18"/>
    </row>
    <row r="72" spans="1:12" s="17" customFormat="1" ht="20.25" customHeight="1">
      <c r="C72" s="18"/>
      <c r="D72" s="18"/>
      <c r="E72" s="18"/>
      <c r="F72" s="18"/>
      <c r="G72" s="18"/>
      <c r="H72" s="18"/>
      <c r="I72" s="18"/>
      <c r="J72" s="18"/>
    </row>
    <row r="73" spans="1:12" s="17" customFormat="1" ht="20.25" customHeight="1">
      <c r="C73" s="18"/>
      <c r="D73" s="18"/>
      <c r="E73" s="18"/>
      <c r="F73" s="18"/>
      <c r="G73" s="18"/>
      <c r="H73" s="18"/>
      <c r="I73" s="18"/>
      <c r="J73" s="18"/>
    </row>
    <row r="74" spans="1:12" s="17" customFormat="1" ht="20.25" customHeight="1">
      <c r="C74" s="18"/>
      <c r="D74" s="18"/>
      <c r="E74" s="18"/>
      <c r="F74" s="18"/>
      <c r="G74" s="18"/>
      <c r="H74" s="18"/>
      <c r="I74" s="18"/>
      <c r="J74" s="18"/>
    </row>
    <row r="75" spans="1:12" s="17" customFormat="1" ht="20.25" customHeight="1">
      <c r="C75" s="18"/>
      <c r="D75" s="18"/>
      <c r="E75" s="18"/>
      <c r="F75" s="18"/>
      <c r="G75" s="18"/>
      <c r="H75" s="18"/>
      <c r="I75" s="18"/>
      <c r="J75" s="18"/>
    </row>
    <row r="76" spans="1:12" s="17" customFormat="1" ht="20.25" customHeight="1">
      <c r="C76" s="18"/>
      <c r="D76" s="18"/>
      <c r="E76" s="18"/>
      <c r="F76" s="18"/>
      <c r="G76" s="18"/>
      <c r="H76" s="18"/>
      <c r="I76" s="18"/>
      <c r="J76" s="18"/>
    </row>
    <row r="77" spans="1:12" s="17" customFormat="1" ht="20.25" customHeight="1">
      <c r="C77" s="18"/>
      <c r="D77" s="18"/>
      <c r="E77" s="18"/>
      <c r="F77" s="18"/>
      <c r="G77" s="18"/>
      <c r="H77" s="18"/>
      <c r="I77" s="18"/>
      <c r="J77" s="18"/>
    </row>
    <row r="78" spans="1:12" s="17" customFormat="1" ht="20.25" customHeight="1">
      <c r="C78" s="18"/>
      <c r="D78" s="18"/>
      <c r="E78" s="18"/>
      <c r="F78" s="18"/>
      <c r="G78" s="18"/>
      <c r="H78" s="18"/>
      <c r="I78" s="18"/>
      <c r="J78" s="18"/>
    </row>
    <row r="79" spans="1:12" s="17" customFormat="1" ht="20.25" customHeight="1">
      <c r="C79" s="18"/>
      <c r="D79" s="18"/>
      <c r="E79" s="18"/>
      <c r="F79" s="18"/>
      <c r="G79" s="18"/>
      <c r="H79" s="18"/>
      <c r="I79" s="18"/>
      <c r="J79" s="18"/>
    </row>
    <row r="80" spans="1:12" s="17" customFormat="1" ht="20.25" customHeight="1">
      <c r="C80" s="18"/>
      <c r="D80" s="18"/>
      <c r="E80" s="18"/>
      <c r="F80" s="18"/>
      <c r="G80" s="18"/>
      <c r="H80" s="18"/>
      <c r="I80" s="18"/>
      <c r="J80" s="18"/>
    </row>
    <row r="81" spans="3:10" s="17" customFormat="1" ht="20.25" customHeight="1">
      <c r="C81" s="18"/>
      <c r="D81" s="18"/>
      <c r="E81" s="18"/>
      <c r="F81" s="18"/>
      <c r="G81" s="18"/>
      <c r="H81" s="18"/>
      <c r="I81" s="18"/>
      <c r="J81" s="18"/>
    </row>
    <row r="82" spans="3:10" s="17" customFormat="1" ht="20.25" customHeight="1">
      <c r="C82" s="18"/>
      <c r="D82" s="18"/>
      <c r="E82" s="18"/>
      <c r="F82" s="18"/>
      <c r="G82" s="18"/>
      <c r="H82" s="18"/>
      <c r="I82" s="18"/>
      <c r="J82" s="18"/>
    </row>
    <row r="83" spans="3:10" s="17" customFormat="1" ht="20.25" customHeight="1">
      <c r="C83" s="18"/>
      <c r="D83" s="18"/>
      <c r="E83" s="18"/>
      <c r="F83" s="18"/>
      <c r="G83" s="18"/>
      <c r="H83" s="18"/>
      <c r="I83" s="18"/>
      <c r="J83" s="18"/>
    </row>
    <row r="84" spans="3:10" s="17" customFormat="1" ht="20.25" customHeight="1">
      <c r="C84" s="18"/>
      <c r="D84" s="18"/>
      <c r="E84" s="18"/>
      <c r="F84" s="18"/>
      <c r="G84" s="18"/>
      <c r="H84" s="18"/>
      <c r="I84" s="18"/>
      <c r="J84" s="18"/>
    </row>
    <row r="85" spans="3:10" s="17" customFormat="1" ht="20.25" customHeight="1">
      <c r="C85" s="18"/>
      <c r="D85" s="18"/>
      <c r="E85" s="18"/>
      <c r="F85" s="18"/>
      <c r="G85" s="18"/>
      <c r="H85" s="18"/>
      <c r="I85" s="18"/>
      <c r="J85" s="18"/>
    </row>
    <row r="86" spans="3:10" s="17" customFormat="1" ht="20.25" customHeight="1">
      <c r="C86" s="18"/>
      <c r="D86" s="18"/>
      <c r="E86" s="18"/>
      <c r="F86" s="18"/>
      <c r="G86" s="18"/>
      <c r="H86" s="18"/>
      <c r="I86" s="18"/>
      <c r="J86" s="18"/>
    </row>
    <row r="87" spans="3:10" s="17" customFormat="1" ht="20.25" customHeight="1">
      <c r="C87" s="18"/>
      <c r="D87" s="18"/>
      <c r="E87" s="18"/>
      <c r="F87" s="18"/>
      <c r="G87" s="18"/>
      <c r="H87" s="18"/>
      <c r="I87" s="18"/>
      <c r="J87" s="18"/>
    </row>
    <row r="88" spans="3:10" s="17" customFormat="1" ht="20.25" customHeight="1">
      <c r="C88" s="18"/>
      <c r="D88" s="18"/>
      <c r="E88" s="18"/>
      <c r="F88" s="18"/>
      <c r="G88" s="18"/>
      <c r="H88" s="18"/>
      <c r="I88" s="18"/>
      <c r="J88" s="18"/>
    </row>
    <row r="89" spans="3:10" s="17" customFormat="1" ht="20.25" customHeight="1">
      <c r="C89" s="18"/>
      <c r="D89" s="18"/>
      <c r="E89" s="18"/>
      <c r="F89" s="18"/>
      <c r="G89" s="18"/>
      <c r="H89" s="18"/>
      <c r="I89" s="18"/>
      <c r="J89" s="18"/>
    </row>
    <row r="90" spans="3:10" s="17" customFormat="1" ht="20.25" customHeight="1">
      <c r="C90" s="18"/>
      <c r="D90" s="18"/>
      <c r="E90" s="18"/>
      <c r="F90" s="18"/>
      <c r="G90" s="18"/>
      <c r="H90" s="18"/>
      <c r="I90" s="18"/>
      <c r="J90" s="18"/>
    </row>
    <row r="91" spans="3:10" s="17" customFormat="1" ht="20.25" customHeight="1">
      <c r="C91" s="18"/>
      <c r="D91" s="18"/>
      <c r="E91" s="18"/>
      <c r="F91" s="18"/>
      <c r="G91" s="18"/>
      <c r="H91" s="18"/>
      <c r="I91" s="18"/>
      <c r="J91" s="18"/>
    </row>
    <row r="92" spans="3:10" s="17" customFormat="1" ht="20.25" customHeight="1"/>
    <row r="93" spans="3:10" s="17" customFormat="1" ht="20.25" customHeight="1"/>
    <row r="94" spans="3:10" s="17" customFormat="1" ht="20.25" customHeight="1"/>
    <row r="95" spans="3:10" s="17" customFormat="1" ht="20.25" customHeight="1"/>
    <row r="96" spans="3:10" s="17" customFormat="1" ht="20.25" customHeight="1"/>
    <row r="97" spans="4:5" s="17" customFormat="1" ht="20.25" customHeight="1"/>
    <row r="98" spans="4:5" s="17" customFormat="1" ht="20.25" customHeight="1">
      <c r="D98" s="19"/>
      <c r="E98" s="19"/>
    </row>
    <row r="99" spans="4:5" s="17" customFormat="1" ht="20.25" customHeight="1"/>
    <row r="100" spans="4:5" s="17" customFormat="1" ht="20.25" customHeight="1"/>
    <row r="101" spans="4:5" s="17" customFormat="1" ht="20.25" customHeight="1"/>
    <row r="102" spans="4:5" s="17" customFormat="1" ht="20.25" customHeight="1"/>
    <row r="103" spans="4:5" s="17" customFormat="1" ht="20.25" customHeight="1"/>
    <row r="104" spans="4:5" s="17" customFormat="1" ht="20.25" customHeight="1"/>
    <row r="105" spans="4:5" s="17" customFormat="1" ht="20.25" customHeight="1"/>
    <row r="106" spans="4:5" s="17" customFormat="1" ht="20.25" customHeight="1"/>
    <row r="107" spans="4:5" s="17" customFormat="1" ht="20.25" customHeight="1"/>
    <row r="108" spans="4:5" s="17" customFormat="1" ht="20.25" customHeight="1"/>
    <row r="109" spans="4:5" s="17" customFormat="1" ht="20.25" customHeight="1"/>
    <row r="110" spans="4:5" s="17" customFormat="1" ht="20.25" customHeight="1"/>
    <row r="111" spans="4:5" s="17" customFormat="1" ht="20.25" customHeight="1"/>
    <row r="112" spans="4:5" s="17" customFormat="1" ht="20.25" customHeight="1"/>
    <row r="113" s="17" customFormat="1" ht="20.25" customHeight="1"/>
    <row r="114" s="17" customFormat="1" ht="20.25" customHeight="1"/>
    <row r="115" s="17" customFormat="1" ht="20.25" customHeight="1"/>
    <row r="116" s="17" customFormat="1" ht="20.25" customHeight="1"/>
    <row r="117" s="17" customFormat="1" ht="20.25" customHeight="1"/>
    <row r="118" s="17" customFormat="1" ht="20.25" customHeight="1"/>
    <row r="119" s="17" customFormat="1" ht="20.25" customHeight="1"/>
    <row r="120" s="17" customFormat="1" ht="20.25" customHeight="1"/>
    <row r="121" s="17" customFormat="1" ht="20.25" customHeight="1"/>
    <row r="122" s="17" customFormat="1" ht="20.25" customHeight="1"/>
    <row r="123" s="17" customFormat="1" ht="20.25" customHeight="1"/>
    <row r="124" s="17" customFormat="1" ht="20.25" customHeight="1"/>
    <row r="125" s="17" customFormat="1" ht="20.25" customHeight="1"/>
    <row r="126" s="17" customFormat="1" ht="20.25" customHeight="1"/>
    <row r="127" s="17" customFormat="1" ht="20.25" customHeight="1"/>
    <row r="128" s="17" customFormat="1" ht="20.25" customHeight="1"/>
    <row r="129" s="17" customFormat="1" ht="20.25" customHeight="1"/>
    <row r="130" s="17" customFormat="1" ht="20.25" customHeight="1"/>
    <row r="131" s="17" customFormat="1" ht="20.25" customHeight="1"/>
    <row r="132" s="17" customFormat="1" ht="20.25" customHeight="1"/>
    <row r="133" s="17" customFormat="1" ht="20.25" customHeight="1"/>
    <row r="134" s="17" customFormat="1" ht="20.25" customHeight="1"/>
    <row r="135" s="17" customFormat="1" ht="20.25" customHeight="1"/>
    <row r="136" s="17" customFormat="1" ht="20.25" customHeight="1"/>
    <row r="137" s="17" customFormat="1" ht="20.25" customHeight="1"/>
    <row r="138" s="17" customFormat="1" ht="20.25" customHeight="1"/>
    <row r="139" s="17" customFormat="1" ht="20.25" customHeight="1"/>
    <row r="140" s="17" customFormat="1" ht="20.25" customHeight="1"/>
    <row r="141" s="17" customFormat="1" ht="20.25" customHeight="1"/>
    <row r="142" s="17" customFormat="1" ht="20.25" customHeight="1"/>
    <row r="143" s="17" customFormat="1" ht="20.25" customHeight="1"/>
    <row r="144" s="17" customFormat="1" ht="20.25" customHeight="1"/>
    <row r="145" s="17" customFormat="1" ht="20.25" customHeight="1"/>
    <row r="146" s="17" customFormat="1" ht="20.25" customHeight="1"/>
    <row r="147" s="17" customFormat="1" ht="20.25" customHeight="1"/>
    <row r="148" s="17" customFormat="1" ht="20.25" customHeight="1"/>
    <row r="149" s="17" customFormat="1" ht="20.25" customHeight="1"/>
    <row r="150" s="17" customFormat="1" ht="20.25" customHeight="1"/>
    <row r="151" s="17" customFormat="1" ht="20.25" customHeight="1"/>
    <row r="152" s="17" customFormat="1" ht="20.25" customHeight="1"/>
    <row r="153" s="17" customFormat="1" ht="20.25" customHeight="1"/>
    <row r="154" s="17" customFormat="1" ht="20.25" customHeight="1"/>
    <row r="155" s="17" customFormat="1" ht="20.25" customHeight="1"/>
    <row r="156" s="17" customFormat="1" ht="20.25" customHeight="1"/>
    <row r="157" s="17" customFormat="1" ht="20.25" customHeight="1"/>
    <row r="158" s="17" customFormat="1" ht="20.25" customHeight="1"/>
    <row r="159" s="17" customFormat="1" ht="20.25" customHeight="1"/>
    <row r="160" s="17" customFormat="1" ht="20.25" customHeight="1"/>
    <row r="161" s="17" customFormat="1" ht="20.25" customHeight="1"/>
    <row r="162" s="17" customFormat="1" ht="20.25" customHeight="1"/>
    <row r="163" s="17" customFormat="1" ht="20.25" customHeight="1"/>
    <row r="164" s="17" customFormat="1" ht="20.25" customHeight="1"/>
    <row r="165" s="17" customFormat="1" ht="20.25" customHeight="1"/>
    <row r="166" s="17" customFormat="1" ht="20.25" customHeight="1"/>
    <row r="167" s="17" customFormat="1" ht="20.25" customHeight="1"/>
    <row r="168" s="17" customFormat="1" ht="20.25" customHeight="1"/>
    <row r="169" s="17" customFormat="1" ht="20.25" customHeight="1"/>
    <row r="170" s="17" customFormat="1" ht="20.25" customHeight="1"/>
    <row r="171" s="17" customFormat="1" ht="20.25" customHeight="1"/>
    <row r="172" s="17" customFormat="1" ht="20.25" customHeight="1"/>
    <row r="173" s="17" customFormat="1" ht="20.25" customHeight="1"/>
    <row r="174" s="17" customFormat="1" ht="20.25" customHeight="1"/>
    <row r="175" s="17" customFormat="1" ht="20.25" customHeight="1"/>
    <row r="176" s="17" customFormat="1" ht="20.25" customHeight="1"/>
    <row r="177" s="17" customFormat="1" ht="20.25" customHeight="1"/>
    <row r="178" s="17" customFormat="1" ht="20.25" customHeight="1"/>
    <row r="179" s="17" customFormat="1" ht="20.25" customHeight="1"/>
    <row r="180" s="17" customFormat="1" ht="20.25" customHeight="1"/>
    <row r="181" s="17" customFormat="1" ht="20.25" customHeight="1"/>
    <row r="182" s="17" customFormat="1" ht="20.25" customHeight="1"/>
    <row r="183" s="17" customFormat="1" ht="20.25" customHeight="1"/>
    <row r="184" s="17" customFormat="1" ht="20.25" customHeight="1"/>
    <row r="185" s="17" customFormat="1" ht="20.25" customHeight="1"/>
    <row r="186" s="17" customFormat="1" ht="20.25" customHeight="1"/>
    <row r="187" s="17" customFormat="1" ht="20.25" customHeight="1"/>
    <row r="188" s="17" customFormat="1" ht="20.25" customHeight="1"/>
    <row r="189" s="17" customFormat="1" ht="20.25" customHeight="1"/>
    <row r="190" s="17" customFormat="1" ht="20.25" customHeight="1"/>
    <row r="191" s="17" customFormat="1" ht="20.25" customHeight="1"/>
    <row r="192" s="17" customFormat="1" ht="20.25" customHeight="1"/>
    <row r="193" s="17" customFormat="1" ht="20.25" customHeight="1"/>
    <row r="194" s="17" customFormat="1" ht="20.25" customHeight="1"/>
    <row r="195" s="17" customFormat="1" ht="20.25" customHeight="1"/>
    <row r="196" s="17" customFormat="1" ht="20.25" customHeight="1"/>
    <row r="197" s="17" customFormat="1" ht="20.25" customHeight="1"/>
    <row r="198" s="17" customFormat="1" ht="20.25" customHeight="1"/>
    <row r="199" s="17" customFormat="1" ht="20.25" customHeight="1"/>
    <row r="200" s="17" customFormat="1" ht="20.25" customHeight="1"/>
    <row r="201" s="17" customFormat="1" ht="20.25" customHeight="1"/>
    <row r="202" s="17" customFormat="1" ht="20.25" customHeight="1"/>
    <row r="203" s="17" customFormat="1" ht="20.25" customHeight="1"/>
    <row r="204" s="17" customFormat="1" ht="20.25" customHeight="1"/>
    <row r="205" s="17" customFormat="1" ht="20.25" customHeight="1"/>
    <row r="206" s="17" customFormat="1" ht="20.25" customHeight="1"/>
    <row r="207" s="17" customFormat="1" ht="20.25" customHeight="1"/>
    <row r="208" s="17" customFormat="1" ht="20.25" customHeight="1"/>
    <row r="209" s="17" customFormat="1" ht="20.25" customHeight="1"/>
    <row r="210" s="17" customFormat="1" ht="20.25" customHeight="1"/>
    <row r="211" s="17" customFormat="1" ht="20.25" customHeight="1"/>
    <row r="212" s="17" customFormat="1" ht="20.25" customHeight="1"/>
    <row r="213" s="17" customFormat="1" ht="20.25" customHeight="1"/>
    <row r="214" s="17" customFormat="1" ht="20.25" customHeight="1"/>
    <row r="215" s="17" customFormat="1" ht="20.25" customHeight="1"/>
    <row r="216" s="17" customFormat="1" ht="20.25" customHeight="1"/>
    <row r="217" s="17" customFormat="1" ht="20.25" customHeight="1"/>
    <row r="218" s="17" customFormat="1" ht="20.25" customHeight="1"/>
    <row r="219" s="17" customFormat="1" ht="20.25" customHeight="1"/>
    <row r="220" s="17" customFormat="1" ht="20.25" customHeight="1"/>
    <row r="221" s="17" customFormat="1" ht="20.25" customHeight="1"/>
    <row r="222" s="17" customFormat="1" ht="20.25" customHeight="1"/>
    <row r="223" s="17" customFormat="1" ht="20.25" customHeight="1"/>
    <row r="224" s="17" customFormat="1" ht="20.25" customHeight="1"/>
    <row r="225" s="17" customFormat="1" ht="20.25" customHeight="1"/>
    <row r="226" s="17" customFormat="1" ht="20.25" customHeight="1"/>
    <row r="227" s="17" customFormat="1" ht="20.25" customHeight="1"/>
    <row r="228" s="17" customFormat="1" ht="20.25" customHeight="1"/>
    <row r="229" s="17" customFormat="1" ht="20.25" customHeight="1"/>
    <row r="230" s="17" customFormat="1" ht="20.25" customHeight="1"/>
    <row r="231" s="17" customFormat="1" ht="20.25" customHeight="1"/>
    <row r="232" s="17" customFormat="1" ht="20.25" customHeight="1"/>
    <row r="233" s="17" customFormat="1" ht="20.25" customHeight="1"/>
    <row r="234" s="17" customFormat="1" ht="20.25" customHeight="1"/>
    <row r="235" s="17" customFormat="1" ht="20.25" customHeight="1"/>
    <row r="236" s="17" customFormat="1" ht="20.25" customHeight="1"/>
    <row r="237" s="17" customFormat="1" ht="20.25" customHeight="1"/>
    <row r="238" s="17" customFormat="1" ht="20.25" customHeight="1"/>
    <row r="239" s="17" customFormat="1" ht="20.25" customHeight="1"/>
    <row r="240" s="17" customFormat="1" ht="20.25" customHeight="1"/>
    <row r="241" s="17" customFormat="1" ht="20.25" customHeight="1"/>
    <row r="242" s="17" customFormat="1" ht="20.25" customHeight="1"/>
    <row r="243" s="17" customFormat="1" ht="20.25" customHeight="1"/>
    <row r="244" s="17" customFormat="1" ht="20.25" customHeight="1"/>
    <row r="245" s="17" customFormat="1" ht="20.25" customHeight="1"/>
    <row r="246" s="17" customFormat="1" ht="20.25" customHeight="1"/>
    <row r="247" s="17" customFormat="1" ht="20.25" customHeight="1"/>
    <row r="248" s="17" customFormat="1" ht="20.25" customHeight="1"/>
    <row r="249" s="17" customFormat="1" ht="20.25" customHeight="1"/>
    <row r="250" s="17" customFormat="1" ht="20.25" customHeight="1"/>
    <row r="251" s="17" customFormat="1" ht="20.25" customHeight="1"/>
    <row r="252" s="17" customFormat="1" ht="20.25" customHeight="1"/>
    <row r="253" s="17" customFormat="1" ht="20.25" customHeight="1"/>
    <row r="254" s="17" customFormat="1" ht="20.25" customHeight="1"/>
    <row r="255" s="17" customFormat="1" ht="20.25" customHeight="1"/>
    <row r="256" s="17" customFormat="1" ht="20.25" customHeight="1"/>
    <row r="257" s="17" customFormat="1" ht="20.25" customHeight="1"/>
    <row r="258" s="17" customFormat="1" ht="20.25" customHeight="1"/>
    <row r="259" s="17" customFormat="1" ht="20.25" customHeight="1"/>
    <row r="260" s="17" customFormat="1" ht="20.25" customHeight="1"/>
    <row r="261" s="17" customFormat="1" ht="20.25" customHeight="1"/>
    <row r="262" s="17" customFormat="1" ht="20.25" customHeight="1"/>
    <row r="263" s="17" customFormat="1" ht="20.25" customHeight="1"/>
    <row r="264" s="17" customFormat="1" ht="20.25" customHeight="1"/>
    <row r="265" s="17" customFormat="1" ht="20.25" customHeight="1"/>
    <row r="266" s="17" customFormat="1" ht="20.25" customHeight="1"/>
    <row r="267" s="17" customFormat="1" ht="20.25" customHeight="1"/>
    <row r="268" s="17" customFormat="1" ht="20.25" customHeight="1"/>
    <row r="269" s="17" customFormat="1" ht="20.25" customHeight="1"/>
    <row r="270" s="17" customFormat="1" ht="20.25" customHeight="1"/>
    <row r="271" s="17" customFormat="1" ht="20.25" customHeight="1"/>
    <row r="272" s="17" customFormat="1" ht="20.25" customHeight="1"/>
    <row r="273" s="17" customFormat="1" ht="20.25" customHeight="1"/>
    <row r="274" s="17" customFormat="1" ht="20.25" customHeight="1"/>
    <row r="275" s="17" customFormat="1" ht="20.25" customHeight="1"/>
  </sheetData>
  <sheetProtection sheet="1" objects="1" scenarios="1"/>
  <mergeCells count="93">
    <mergeCell ref="C24:C27"/>
    <mergeCell ref="C65:F65"/>
    <mergeCell ref="G65:J65"/>
    <mergeCell ref="D55:E55"/>
    <mergeCell ref="C52:I52"/>
    <mergeCell ref="C53:J53"/>
    <mergeCell ref="F55:G55"/>
    <mergeCell ref="H55:H56"/>
    <mergeCell ref="I55:I56"/>
    <mergeCell ref="C63:I63"/>
    <mergeCell ref="I60:I62"/>
    <mergeCell ref="J55:J56"/>
    <mergeCell ref="D60:G60"/>
    <mergeCell ref="H54:J54"/>
    <mergeCell ref="D58:F58"/>
    <mergeCell ref="D62:G62"/>
    <mergeCell ref="C57:C60"/>
    <mergeCell ref="D48:F48"/>
    <mergeCell ref="D59:F59"/>
    <mergeCell ref="H11:H12"/>
    <mergeCell ref="D38:G38"/>
    <mergeCell ref="D36:F36"/>
    <mergeCell ref="H32:J32"/>
    <mergeCell ref="I11:I12"/>
    <mergeCell ref="J11:J12"/>
    <mergeCell ref="I22:I23"/>
    <mergeCell ref="C19:I19"/>
    <mergeCell ref="D26:F26"/>
    <mergeCell ref="D37:F37"/>
    <mergeCell ref="C31:J31"/>
    <mergeCell ref="D33:E33"/>
    <mergeCell ref="F33:G33"/>
    <mergeCell ref="C35:C38"/>
    <mergeCell ref="J33:J34"/>
    <mergeCell ref="D50:G50"/>
    <mergeCell ref="C46:C49"/>
    <mergeCell ref="D54:F54"/>
    <mergeCell ref="D39:G39"/>
    <mergeCell ref="D40:G40"/>
    <mergeCell ref="J44:J45"/>
    <mergeCell ref="D49:G49"/>
    <mergeCell ref="D44:E44"/>
    <mergeCell ref="C41:I41"/>
    <mergeCell ref="C42:J42"/>
    <mergeCell ref="H33:H34"/>
    <mergeCell ref="J22:J23"/>
    <mergeCell ref="F44:G44"/>
    <mergeCell ref="D47:F47"/>
    <mergeCell ref="D43:F43"/>
    <mergeCell ref="I49:I51"/>
    <mergeCell ref="H43:J43"/>
    <mergeCell ref="H44:H45"/>
    <mergeCell ref="I44:I45"/>
    <mergeCell ref="D51:G51"/>
    <mergeCell ref="F22:G22"/>
    <mergeCell ref="D15:F15"/>
    <mergeCell ref="F11:G11"/>
    <mergeCell ref="D18:G18"/>
    <mergeCell ref="D17:G17"/>
    <mergeCell ref="D16:G16"/>
    <mergeCell ref="D11:E11"/>
    <mergeCell ref="C67:J67"/>
    <mergeCell ref="C1:J1"/>
    <mergeCell ref="H7:J7"/>
    <mergeCell ref="C2:J2"/>
    <mergeCell ref="C3:J3"/>
    <mergeCell ref="D4:F4"/>
    <mergeCell ref="D5:F5"/>
    <mergeCell ref="H5:I5"/>
    <mergeCell ref="D6:F6"/>
    <mergeCell ref="H6:J6"/>
    <mergeCell ref="H21:J21"/>
    <mergeCell ref="D25:F25"/>
    <mergeCell ref="D27:G27"/>
    <mergeCell ref="D28:G28"/>
    <mergeCell ref="D32:F32"/>
    <mergeCell ref="D21:F21"/>
    <mergeCell ref="C9:J9"/>
    <mergeCell ref="H4:I4"/>
    <mergeCell ref="D7:F7"/>
    <mergeCell ref="C8:J8"/>
    <mergeCell ref="C64:J64"/>
    <mergeCell ref="D29:G29"/>
    <mergeCell ref="D10:F10"/>
    <mergeCell ref="H10:J10"/>
    <mergeCell ref="D61:G61"/>
    <mergeCell ref="C30:I30"/>
    <mergeCell ref="H22:H23"/>
    <mergeCell ref="C13:C16"/>
    <mergeCell ref="I33:I34"/>
    <mergeCell ref="D14:F14"/>
    <mergeCell ref="D22:E22"/>
    <mergeCell ref="C20:J20"/>
  </mergeCells>
  <phoneticPr fontId="0" type="noConversion"/>
  <conditionalFormatting sqref="I16:I18">
    <cfRule type="expression" dxfId="5" priority="1" stopIfTrue="1">
      <formula>OR(DepartureTime21&gt;=DepartureTimeThresholdHalf,ArrivalTime21&lt;=ArrivalTimeThresholdHalf)</formula>
    </cfRule>
  </conditionalFormatting>
  <conditionalFormatting sqref="I27:I29">
    <cfRule type="expression" dxfId="4" priority="2" stopIfTrue="1">
      <formula>OR(DepartureTime22&gt;=DepartureTimeThresholdHalf,ArrivalTime22&lt;=ArrivalTimeThresholdHalf)</formula>
    </cfRule>
  </conditionalFormatting>
  <conditionalFormatting sqref="I38:I40">
    <cfRule type="expression" dxfId="3" priority="3" stopIfTrue="1">
      <formula>OR(DepartureTime23&gt;=DepartureTimeThresholdHalf,ArrivalTime23&lt;=ArrivalTimeThresholdHalf)</formula>
    </cfRule>
  </conditionalFormatting>
  <conditionalFormatting sqref="J58 J47">
    <cfRule type="cellIs" dxfId="2" priority="4" stopIfTrue="1" operator="greaterThan">
      <formula>0</formula>
    </cfRule>
  </conditionalFormatting>
  <conditionalFormatting sqref="H14">
    <cfRule type="cellIs" dxfId="1" priority="5" stopIfTrue="1" operator="greaterThanOrEqual">
      <formula>1</formula>
    </cfRule>
  </conditionalFormatting>
  <conditionalFormatting sqref="J14 J25 J36">
    <cfRule type="cellIs" dxfId="0" priority="6" stopIfTrue="1" operator="greaterThan">
      <formula>0</formula>
    </cfRule>
  </conditionalFormatting>
  <dataValidations xWindow="679" yWindow="497" count="17">
    <dataValidation type="list" showInputMessage="1" showErrorMessage="1" errorTitle="Inmatningsfel" error="Tryck på knappen &quot;Avbryt&quot; (&quot;Cancel&quot;) så får du en ny chans. Välj sedan ett land ur listan, eller ställ dig högst upp i listan på alternativet &quot;Välj land ur listan...&quot;." promptTitle="Vistelse utomlands" prompt="Välj land ur listan..." sqref="C51 C62" xr:uid="{00000000-0002-0000-0400-000000000000}">
      <formula1>CBList2</formula1>
    </dataValidation>
    <dataValidation type="whole" operator="greaterThan" allowBlank="1" showInputMessage="1" showErrorMessage="1" error="Du fyllt i antal måltider felaktigt. Fyll i antal måltider som ett heltal. Försök igen!" promptTitle="Antal måltider under heldag" prompt="Här anger du antal erhållna fria frukostar under vistelsens beräknade heldagar för skattefritt dagtraktamente, som ett heltal större än noll._x000a__x000a_Observera att kost som obligatoriskt ingår i priset på allmänna transportmedel inte ska minska traktamentet." sqref="H16 H27 H38 H49 H60" xr:uid="{00000000-0002-0000-0400-000001000000}">
      <formula1>0</formula1>
    </dataValidation>
    <dataValidation type="whole" operator="greaterThan" allowBlank="1" showInputMessage="1" showErrorMessage="1" error="Du fyllt i antal måltider felaktigt. Fyll i antal måltider som ett heltal. Försök igen!" promptTitle="Antal måltider under heldag" prompt="Här anger du antal erhållna fria luncher under vistelsens beräknade heldagar för skattefritt dagtraktamente, som ett heltal större än noll._x000a__x000a_Observera att kost som obligatoriskt ingår i priset på allmänna transportmedel inte ska minska traktamentet." sqref="H17 H28 H39 H50 H61" xr:uid="{00000000-0002-0000-0400-000002000000}">
      <formula1>0</formula1>
    </dataValidation>
    <dataValidation type="whole" operator="greaterThan" allowBlank="1" showInputMessage="1" showErrorMessage="1" error="Du fyllt i antal måltider felaktigt. Fyll i antal måltider som ett heltal. Försök igen!" promptTitle="Antal måltider under heldag" prompt="Här anger du antal erhållna fria middagar under vistelsens beräknade heldagar för skattefritt dagtraktamente, som ett heltal större än noll._x000a__x000a_Observera att kost som obligatoriskt ingår i priset på allmänna transportmedel inte ska minska traktamentet." sqref="H18 H29 H40 H51 H62" xr:uid="{00000000-0002-0000-0400-000003000000}">
      <formula1>0</formula1>
    </dataValidation>
    <dataValidation allowBlank="1" showInputMessage="1" showErrorMessage="1" promptTitle="Dagar" prompt="Dagar räknas ut automatiskt efter vad du angett för datum och tider._x000a__x000a_Observera att det alltid krävs minst en hel övernattning (kl. 00–06) för att skattefritt traktamente ska kunna betalas ut." sqref="H24 H35 H46 H57 H13" xr:uid="{00000000-0002-0000-0400-000004000000}"/>
    <dataValidation type="time" allowBlank="1" showInputMessage="1" showErrorMessage="1" error="Antagligen har du fyllt i tiden felaktigt. Hemkomsttiden fylls i på formen tt:mm, exempelvis 17:00 för kl. fem. Försök igen!" promptTitle="Hemkomsttid" prompt="Fyll i hemkomsttid på formen tt:mm." sqref="G24 G57 G35 G46 G13" xr:uid="{00000000-0002-0000-0400-000005000000}">
      <formula1>0</formula1>
      <formula2>0.999988425925926</formula2>
    </dataValidation>
    <dataValidation type="time" allowBlank="1" showInputMessage="1" showErrorMessage="1" error="Antagligen har du fyllt i tiden felaktigt. Avresetiden fylls i på formen tt:mm, exempelvis 08:00 för kl. åtta. Försök igen!" promptTitle="Avresetid" prompt="Fyll i avresetid på formen tt:mm." sqref="E46 E13 E24 E35 E57" xr:uid="{00000000-0002-0000-0400-000006000000}">
      <formula1>0</formula1>
      <formula2>0.999988425925926</formula2>
    </dataValidation>
    <dataValidation allowBlank="1" showInputMessage="1" showErrorMessage="1" promptTitle="Traktamente" prompt="Traktamente räknas ut automatiskt efter vad du angett för datum, tider och land." sqref="J46 J57" xr:uid="{00000000-0002-0000-0400-000007000000}"/>
    <dataValidation allowBlank="1" showInputMessage="1" showErrorMessage="1" promptTitle="Traktamente" prompt="Traktamente räknas ut automatiskt efter vad du angett för datum och tider." sqref="J24 J35 J13" xr:uid="{00000000-0002-0000-0400-000008000000}"/>
    <dataValidation type="whole" operator="greaterThan" allowBlank="1" showInputMessage="1" showErrorMessage="1" error="Du fyllt i antal måltider felaktigt. Fyll i antal måltider som ett heltal. Försök igen!" promptTitle="Antal måltider under halvdag" prompt="Här anger du antal erhållna fria middagar under vistelsens beräknade halvdagar för skattefritt dagtraktamente._x000a__x000a_Som halv dag räknas avresedagen om resan påbörjas klockan 12.00 eller senare och hemkomstdagen om resan avslutas klockan 19.00 eller tidigare." sqref="I18 I29 I40" xr:uid="{00000000-0002-0000-0400-000009000000}">
      <formula1>0</formula1>
    </dataValidation>
    <dataValidation type="whole" operator="greaterThan" allowBlank="1" showInputMessage="1" showErrorMessage="1" error="Du fyllt i antal måltider felaktigt. Fyll i antal måltider som ett heltal. Försök igen!" promptTitle="Antal måltider under halvdag" prompt="Här anger du antal erhållna fria luncher under vistelsens beräknade halvdagar för skattefritt dagtraktamente._x000a__x000a_Som halv dag räknas avresedagen om resan påbörjas klockan 12.00 eller senare och hemkomstdagen om resan avslutas klockan 19.00 eller tidigare." sqref="I17 I28 I39" xr:uid="{00000000-0002-0000-0400-00000A000000}">
      <formula1>0</formula1>
    </dataValidation>
    <dataValidation type="whole" operator="greaterThan" allowBlank="1" showInputMessage="1" showErrorMessage="1" error="Du fyllt i antal måltider felaktigt. Fyll i antal måltider som ett heltal. Försök igen!" promptTitle="Antal måltider under halvdag" prompt="Här anger du antal erhållna fria frukostar under vistelsens beräknade halvdagar för skattefritt dagtraktamente._x000a__x000a_Som halv dag räknas avresedagen om resan påbörjas klockan 12.00 eller senare och hemkomstdagen om resan avslutas klockan 19.00 eller tidigare." sqref="I16 I27 I38" xr:uid="{00000000-0002-0000-0400-00000B000000}">
      <formula1>0</formula1>
    </dataValidation>
    <dataValidation type="date" operator="greaterThanOrEqual" allowBlank="1" showInputMessage="1" showErrorMessage="1" error="Antingen har du fyllt i datumet felaktigt eller så har du fyllt i ett datum före avresedatum. Datumet fylls i på formen ÅÅÅÅ-MM-DD, exempelvis 2014-05-31 för den 31 maj 2014. Försök igen!" promptTitle="Hemkomstdatum" prompt="Fyll i hemkomstdatum på formen ÅÅÅÅ-MM-DD." sqref="F24 F46 F35 F13 F57" xr:uid="{00000000-0002-0000-0400-00000C000000}">
      <formula1>D13</formula1>
    </dataValidation>
    <dataValidation allowBlank="1" showInputMessage="1" showErrorMessage="1" promptTitle="Nattraktamente" prompt="Nattraktamente räknas ut automatiskt efter vad du angett för datum och tider." sqref="J14 J25 J36 J47 J58" xr:uid="{00000000-0002-0000-0400-00000D000000}"/>
    <dataValidation allowBlank="1" showInputMessage="1" showErrorMessage="1" promptTitle="Nätter" prompt="Nätter räknas ut automatiskt efter vad du angett för datum och tider._x000a__x000a_Observera att det alltid krävs minst en hel övernattning (kl. 00–06) för att skattefritt nattraktamente ska kunna betalas ut." sqref="H14 H25 H36 H47 H58" xr:uid="{00000000-0002-0000-0400-00000E000000}"/>
    <dataValidation allowBlank="1" sqref="C4:H7 I5:I7 J4:J7" xr:uid="{00000000-0002-0000-0400-00000F000000}"/>
    <dataValidation type="date" allowBlank="1" showInputMessage="1" showErrorMessage="1" error="Antingen har du fyllt i datumet felaktigt eller så har du fyllt i ett datum före eller efter år 2014. Datumet fylls i på formen ÅÅÅÅ-MM-DD, exempelvis 2014-05-31 för den 31 maj 2014. Försök igen!" promptTitle="Avresedatum" prompt="Fyll i avresedatum på formen ÅÅÅÅ-MM-DD." sqref="D13 D24 D35 D46 D57" xr:uid="{00000000-0002-0000-0400-000010000000}">
      <formula1>18264</formula1>
      <formula2>54788</formula2>
    </dataValidation>
  </dataValidations>
  <hyperlinks>
    <hyperlink ref="C1" location="Huvudmeny!B2" tooltip="Klicka för att gå till huvudmenyn" display="T I L L  H U V U D M E N Y N" xr:uid="{00000000-0004-0000-0400-000000000000}"/>
    <hyperlink ref="C1:J1" location="MM!B2" tooltip="Klicka för att gå till huvudmenyn" display="T I L L  H U V U D M E N Y N" xr:uid="{00000000-0004-0000-0400-000001000000}"/>
  </hyperlinks>
  <printOptions horizontalCentered="1"/>
  <pageMargins left="0.51181102362204722" right="0.51181102362204722" top="0.98425196850393704" bottom="0.98425196850393704" header="0.51181102362204722" footer="0.39370078740157483"/>
  <pageSetup paperSize="9" orientation="portrait" blackAndWhite="1" r:id="rId1"/>
  <headerFooter alignWithMargins="0">
    <oddFooter>&amp;L&amp;"Arial,Normal"&amp;6Copyright DokuMera
&amp;"Arial,Normal"&amp;6DM 1189 &amp;"Arial,Normal"&amp;6V 1.52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266700</xdr:colOff>
                    <xdr:row>9</xdr:row>
                    <xdr:rowOff>12700</xdr:rowOff>
                  </from>
                  <to>
                    <xdr:col>6</xdr:col>
                    <xdr:colOff>571500</xdr:colOff>
                    <xdr:row>9</xdr:row>
                    <xdr:rowOff>228600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266700</xdr:colOff>
                    <xdr:row>20</xdr:row>
                    <xdr:rowOff>12700</xdr:rowOff>
                  </from>
                  <to>
                    <xdr:col>6</xdr:col>
                    <xdr:colOff>571500</xdr:colOff>
                    <xdr:row>20</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266700</xdr:colOff>
                    <xdr:row>31</xdr:row>
                    <xdr:rowOff>12700</xdr:rowOff>
                  </from>
                  <to>
                    <xdr:col>6</xdr:col>
                    <xdr:colOff>571500</xdr:colOff>
                    <xdr:row>31</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6</xdr:col>
                    <xdr:colOff>266700</xdr:colOff>
                    <xdr:row>42</xdr:row>
                    <xdr:rowOff>12700</xdr:rowOff>
                  </from>
                  <to>
                    <xdr:col>6</xdr:col>
                    <xdr:colOff>571500</xdr:colOff>
                    <xdr:row>42</xdr:row>
                    <xdr:rowOff>228600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6</xdr:col>
                    <xdr:colOff>266700</xdr:colOff>
                    <xdr:row>53</xdr:row>
                    <xdr:rowOff>12700</xdr:rowOff>
                  </from>
                  <to>
                    <xdr:col>6</xdr:col>
                    <xdr:colOff>571500</xdr:colOff>
                    <xdr:row>53</xdr:row>
                    <xdr:rowOff>228600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6</xdr:col>
                    <xdr:colOff>266700</xdr:colOff>
                    <xdr:row>20</xdr:row>
                    <xdr:rowOff>12700</xdr:rowOff>
                  </from>
                  <to>
                    <xdr:col>6</xdr:col>
                    <xdr:colOff>571500</xdr:colOff>
                    <xdr:row>20</xdr:row>
                    <xdr:rowOff>228600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266700</xdr:colOff>
                    <xdr:row>31</xdr:row>
                    <xdr:rowOff>12700</xdr:rowOff>
                  </from>
                  <to>
                    <xdr:col>6</xdr:col>
                    <xdr:colOff>571500</xdr:colOff>
                    <xdr:row>31</xdr:row>
                    <xdr:rowOff>228600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6</xdr:col>
                    <xdr:colOff>266700</xdr:colOff>
                    <xdr:row>42</xdr:row>
                    <xdr:rowOff>12700</xdr:rowOff>
                  </from>
                  <to>
                    <xdr:col>6</xdr:col>
                    <xdr:colOff>571500</xdr:colOff>
                    <xdr:row>42</xdr:row>
                    <xdr:rowOff>228600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266700</xdr:colOff>
                    <xdr:row>53</xdr:row>
                    <xdr:rowOff>12700</xdr:rowOff>
                  </from>
                  <to>
                    <xdr:col>6</xdr:col>
                    <xdr:colOff>571500</xdr:colOff>
                    <xdr:row>53</xdr:row>
                    <xdr:rowOff>228600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266700</xdr:colOff>
                    <xdr:row>14</xdr:row>
                    <xdr:rowOff>50800</xdr:rowOff>
                  </from>
                  <to>
                    <xdr:col>6</xdr:col>
                    <xdr:colOff>571500</xdr:colOff>
                    <xdr:row>14</xdr:row>
                    <xdr:rowOff>266700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6</xdr:col>
                    <xdr:colOff>266700</xdr:colOff>
                    <xdr:row>25</xdr:row>
                    <xdr:rowOff>50800</xdr:rowOff>
                  </from>
                  <to>
                    <xdr:col>6</xdr:col>
                    <xdr:colOff>571500</xdr:colOff>
                    <xdr:row>25</xdr:row>
                    <xdr:rowOff>266700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266700</xdr:colOff>
                    <xdr:row>36</xdr:row>
                    <xdr:rowOff>50800</xdr:rowOff>
                  </from>
                  <to>
                    <xdr:col>6</xdr:col>
                    <xdr:colOff>571500</xdr:colOff>
                    <xdr:row>36</xdr:row>
                    <xdr:rowOff>266700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6</xdr:col>
                    <xdr:colOff>266700</xdr:colOff>
                    <xdr:row>47</xdr:row>
                    <xdr:rowOff>50800</xdr:rowOff>
                  </from>
                  <to>
                    <xdr:col>6</xdr:col>
                    <xdr:colOff>571500</xdr:colOff>
                    <xdr:row>47</xdr:row>
                    <xdr:rowOff>266700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6</xdr:col>
                    <xdr:colOff>266700</xdr:colOff>
                    <xdr:row>58</xdr:row>
                    <xdr:rowOff>50800</xdr:rowOff>
                  </from>
                  <to>
                    <xdr:col>6</xdr:col>
                    <xdr:colOff>571500</xdr:colOff>
                    <xdr:row>58</xdr:row>
                    <xdr:rowOff>266700</xdr:rowOff>
                  </to>
                </anchor>
              </controlPr>
            </control>
          </mc:Choice>
        </mc:AlternateContent>
        <mc:AlternateContent xmlns:mc="http://schemas.openxmlformats.org/markup-compatibility/2006">
          <mc:Choice Requires="x14">
            <control shapeId="10266" r:id="rId18" name="Check Box 26">
              <controlPr defaultSize="0" autoFill="0" autoLine="0" autoPict="0">
                <anchor moveWithCells="1">
                  <from>
                    <xdr:col>6</xdr:col>
                    <xdr:colOff>266700</xdr:colOff>
                    <xdr:row>57</xdr:row>
                    <xdr:rowOff>50800</xdr:rowOff>
                  </from>
                  <to>
                    <xdr:col>6</xdr:col>
                    <xdr:colOff>571500</xdr:colOff>
                    <xdr:row>57</xdr:row>
                    <xdr:rowOff>266700</xdr:rowOff>
                  </to>
                </anchor>
              </controlPr>
            </control>
          </mc:Choice>
        </mc:AlternateContent>
        <mc:AlternateContent xmlns:mc="http://schemas.openxmlformats.org/markup-compatibility/2006">
          <mc:Choice Requires="x14">
            <control shapeId="10267" r:id="rId19" name="Check Box 27">
              <controlPr defaultSize="0" autoFill="0" autoLine="0" autoPict="0">
                <anchor moveWithCells="1">
                  <from>
                    <xdr:col>6</xdr:col>
                    <xdr:colOff>266700</xdr:colOff>
                    <xdr:row>46</xdr:row>
                    <xdr:rowOff>50800</xdr:rowOff>
                  </from>
                  <to>
                    <xdr:col>6</xdr:col>
                    <xdr:colOff>571500</xdr:colOff>
                    <xdr:row>46</xdr:row>
                    <xdr:rowOff>266700</xdr:rowOff>
                  </to>
                </anchor>
              </controlPr>
            </control>
          </mc:Choice>
        </mc:AlternateContent>
        <mc:AlternateContent xmlns:mc="http://schemas.openxmlformats.org/markup-compatibility/2006">
          <mc:Choice Requires="x14">
            <control shapeId="10268" r:id="rId20" name="Check Box 28">
              <controlPr defaultSize="0" autoFill="0" autoLine="0" autoPict="0">
                <anchor moveWithCells="1">
                  <from>
                    <xdr:col>6</xdr:col>
                    <xdr:colOff>266700</xdr:colOff>
                    <xdr:row>35</xdr:row>
                    <xdr:rowOff>50800</xdr:rowOff>
                  </from>
                  <to>
                    <xdr:col>6</xdr:col>
                    <xdr:colOff>571500</xdr:colOff>
                    <xdr:row>35</xdr:row>
                    <xdr:rowOff>266700</xdr:rowOff>
                  </to>
                </anchor>
              </controlPr>
            </control>
          </mc:Choice>
        </mc:AlternateContent>
        <mc:AlternateContent xmlns:mc="http://schemas.openxmlformats.org/markup-compatibility/2006">
          <mc:Choice Requires="x14">
            <control shapeId="10269" r:id="rId21" name="Check Box 29">
              <controlPr defaultSize="0" autoFill="0" autoLine="0" autoPict="0">
                <anchor moveWithCells="1">
                  <from>
                    <xdr:col>6</xdr:col>
                    <xdr:colOff>266700</xdr:colOff>
                    <xdr:row>24</xdr:row>
                    <xdr:rowOff>50800</xdr:rowOff>
                  </from>
                  <to>
                    <xdr:col>6</xdr:col>
                    <xdr:colOff>571500</xdr:colOff>
                    <xdr:row>24</xdr:row>
                    <xdr:rowOff>266700</xdr:rowOff>
                  </to>
                </anchor>
              </controlPr>
            </control>
          </mc:Choice>
        </mc:AlternateContent>
        <mc:AlternateContent xmlns:mc="http://schemas.openxmlformats.org/markup-compatibility/2006">
          <mc:Choice Requires="x14">
            <control shapeId="10270" r:id="rId22" name="Check Box 30">
              <controlPr defaultSize="0" autoFill="0" autoLine="0" autoPict="0">
                <anchor moveWithCells="1">
                  <from>
                    <xdr:col>6</xdr:col>
                    <xdr:colOff>266700</xdr:colOff>
                    <xdr:row>13</xdr:row>
                    <xdr:rowOff>50800</xdr:rowOff>
                  </from>
                  <to>
                    <xdr:col>6</xdr:col>
                    <xdr:colOff>571500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L27"/>
  <sheetViews>
    <sheetView showGridLines="0" showRowColHeaders="0" showOutlineSymbols="0" defaultGridColor="0" colorId="12" workbookViewId="0">
      <pane ySplit="8" topLeftCell="A9" activePane="bottomLeft" state="frozen"/>
      <selection activeCell="B2" sqref="B2:Y2"/>
      <selection pane="bottomLeft" activeCell="B2" sqref="B2"/>
    </sheetView>
  </sheetViews>
  <sheetFormatPr defaultColWidth="9.1796875" defaultRowHeight="12.5"/>
  <cols>
    <col min="1" max="1" width="3.7265625" style="1" customWidth="1"/>
    <col min="2" max="2" width="2.26953125" style="1" customWidth="1"/>
    <col min="3" max="3" width="12.7265625" style="1" customWidth="1"/>
    <col min="4" max="4" width="14.7265625" style="3" customWidth="1"/>
    <col min="5" max="5" width="3.7265625" style="3" customWidth="1"/>
    <col min="6" max="6" width="12.7265625" style="3" customWidth="1"/>
    <col min="7" max="7" width="14.7265625" style="3" customWidth="1"/>
    <col min="8" max="8" width="3.7265625" style="3" customWidth="1"/>
    <col min="9" max="9" width="12.7265625" style="1" customWidth="1"/>
    <col min="10" max="10" width="14.7265625" style="1" customWidth="1"/>
    <col min="11" max="11" width="2.26953125" style="1" customWidth="1"/>
    <col min="12" max="12" width="3.7265625" style="1" customWidth="1"/>
    <col min="13" max="16384" width="9.1796875" style="1"/>
  </cols>
  <sheetData>
    <row r="1" spans="1:12" ht="18" customHeight="1">
      <c r="A1" s="93"/>
      <c r="B1" s="93"/>
      <c r="C1" s="236" t="s">
        <v>138</v>
      </c>
      <c r="D1" s="236"/>
      <c r="E1" s="236"/>
      <c r="F1" s="236"/>
      <c r="G1" s="236"/>
      <c r="H1" s="236"/>
      <c r="I1" s="236"/>
      <c r="J1" s="236"/>
      <c r="K1" s="93"/>
      <c r="L1" s="93"/>
    </row>
    <row r="2" spans="1:12" ht="36" customHeight="1">
      <c r="A2" s="93"/>
      <c r="B2" s="90"/>
      <c r="C2" s="239" t="s">
        <v>296</v>
      </c>
      <c r="D2" s="239"/>
      <c r="E2" s="239"/>
      <c r="F2" s="239"/>
      <c r="G2" s="239"/>
      <c r="H2" s="239"/>
      <c r="I2" s="239"/>
      <c r="J2" s="239"/>
      <c r="K2" s="90"/>
      <c r="L2" s="93"/>
    </row>
    <row r="3" spans="1:12" s="4" customFormat="1" ht="18" customHeight="1">
      <c r="A3" s="114"/>
      <c r="B3" s="115"/>
      <c r="C3" s="188" t="str">
        <f>CONCATENATE(DmTitleRow01ForSheetHeaders," ",DmTitleRow02ForSheetHeaders)</f>
        <v>TRAKTAMENTSRÄKNING 2023</v>
      </c>
      <c r="D3" s="258"/>
      <c r="E3" s="258"/>
      <c r="F3" s="258"/>
      <c r="G3" s="258"/>
      <c r="H3" s="258"/>
      <c r="I3" s="258"/>
      <c r="J3" s="258"/>
      <c r="K3" s="115"/>
      <c r="L3" s="114"/>
    </row>
    <row r="4" spans="1:12" s="4" customFormat="1" ht="12" customHeight="1">
      <c r="A4" s="114"/>
      <c r="B4" s="115"/>
      <c r="C4" s="244" t="str">
        <f>ALLOWANCE1!C4</f>
        <v>Företag</v>
      </c>
      <c r="D4" s="244"/>
      <c r="E4" s="244" t="str">
        <f>ALLOWANCE1!D4</f>
        <v>Anställd</v>
      </c>
      <c r="F4" s="244"/>
      <c r="G4" s="244"/>
      <c r="H4" s="115"/>
      <c r="I4" s="248" t="str">
        <f>ALLOWANCE1!H4</f>
        <v>Redovisningsperiod</v>
      </c>
      <c r="J4" s="248"/>
      <c r="K4" s="115"/>
      <c r="L4" s="114"/>
    </row>
    <row r="5" spans="1:12" s="4" customFormat="1" ht="18" customHeight="1">
      <c r="A5" s="114"/>
      <c r="B5" s="115"/>
      <c r="C5" s="245" t="str">
        <f>DmCompanyName</f>
        <v>MeraDoku AB</v>
      </c>
      <c r="D5" s="245"/>
      <c r="E5" s="242" t="str">
        <f>DmEmployeeName</f>
        <v>Niklas Niklasson</v>
      </c>
      <c r="F5" s="242"/>
      <c r="G5" s="242"/>
      <c r="H5" s="115"/>
      <c r="I5" s="245" t="str">
        <f>BI!C20</f>
        <v>maj</v>
      </c>
      <c r="J5" s="245"/>
      <c r="K5" s="115"/>
      <c r="L5" s="114"/>
    </row>
    <row r="6" spans="1:12" s="4" customFormat="1" ht="12" customHeight="1">
      <c r="A6" s="114"/>
      <c r="B6" s="115"/>
      <c r="C6" s="244" t="str">
        <f>ALLOWANCE1!C6</f>
        <v>Avdelning</v>
      </c>
      <c r="D6" s="244"/>
      <c r="E6" s="244" t="str">
        <f>ALLOWANCE1!D6</f>
        <v>Anställningsnummer</v>
      </c>
      <c r="F6" s="244"/>
      <c r="G6" s="244"/>
      <c r="H6" s="115"/>
      <c r="I6" s="244" t="str">
        <f>ALLOWANCE1!H6</f>
        <v>Slutdatum i redovisningsperioden</v>
      </c>
      <c r="J6" s="244"/>
      <c r="K6" s="115"/>
      <c r="L6" s="114"/>
    </row>
    <row r="7" spans="1:12" s="4" customFormat="1" ht="18" customHeight="1">
      <c r="A7" s="114"/>
      <c r="B7" s="115"/>
      <c r="C7" s="245" t="str">
        <f>DmDepartmentName</f>
        <v>Försäljning</v>
      </c>
      <c r="D7" s="245"/>
      <c r="E7" s="242" t="str">
        <f>DmEmployeeNumber</f>
        <v>322</v>
      </c>
      <c r="F7" s="242"/>
      <c r="G7" s="242"/>
      <c r="H7" s="115"/>
      <c r="I7" s="237">
        <f>BI!C23</f>
        <v>45077</v>
      </c>
      <c r="J7" s="237"/>
      <c r="K7" s="115"/>
      <c r="L7" s="114"/>
    </row>
    <row r="8" spans="1:12" s="4" customFormat="1" ht="10" customHeight="1">
      <c r="A8" s="114"/>
      <c r="B8" s="114"/>
      <c r="C8" s="257"/>
      <c r="D8" s="257"/>
      <c r="E8" s="257"/>
      <c r="F8" s="257"/>
      <c r="G8" s="257"/>
      <c r="H8" s="257"/>
      <c r="I8" s="257"/>
      <c r="J8" s="257"/>
      <c r="K8" s="114"/>
      <c r="L8" s="114"/>
    </row>
    <row r="9" spans="1:12" s="4" customFormat="1" ht="10" customHeight="1">
      <c r="A9" s="114"/>
      <c r="B9" s="115"/>
      <c r="C9" s="251"/>
      <c r="D9" s="251"/>
      <c r="E9" s="251"/>
      <c r="F9" s="251"/>
      <c r="G9" s="251"/>
      <c r="H9" s="251"/>
      <c r="I9" s="251"/>
      <c r="J9" s="251"/>
      <c r="K9" s="115"/>
      <c r="L9" s="114"/>
    </row>
    <row r="10" spans="1:12" s="4" customFormat="1" ht="20.25" customHeight="1">
      <c r="A10" s="114"/>
      <c r="B10" s="115"/>
      <c r="C10" s="254" t="s">
        <v>131</v>
      </c>
      <c r="D10" s="255"/>
      <c r="E10" s="255"/>
      <c r="F10" s="255"/>
      <c r="G10" s="255"/>
      <c r="H10" s="255"/>
      <c r="I10" s="255"/>
      <c r="J10" s="255"/>
      <c r="K10" s="115"/>
      <c r="L10" s="114"/>
    </row>
    <row r="11" spans="1:12" s="4" customFormat="1" ht="20.25" customHeight="1">
      <c r="A11" s="114"/>
      <c r="B11" s="115"/>
      <c r="C11" s="245" t="s">
        <v>133</v>
      </c>
      <c r="D11" s="252"/>
      <c r="E11" s="252"/>
      <c r="F11" s="252"/>
      <c r="G11" s="252"/>
      <c r="H11" s="252"/>
      <c r="I11" s="252"/>
      <c r="J11" s="252"/>
      <c r="K11" s="115"/>
      <c r="L11" s="114"/>
    </row>
    <row r="12" spans="1:12" s="4" customFormat="1" ht="20.25" customHeight="1">
      <c r="A12" s="114"/>
      <c r="B12" s="115"/>
      <c r="C12" s="253" t="str">
        <f>ALLOWANCE1!C10</f>
        <v>Tjänsteresa inom Sverige S1</v>
      </c>
      <c r="D12" s="252"/>
      <c r="E12" s="252"/>
      <c r="F12" s="123">
        <f>ALLOWANCE1!J19</f>
        <v>1156</v>
      </c>
      <c r="G12" s="256"/>
      <c r="H12" s="256"/>
      <c r="I12" s="256"/>
      <c r="J12" s="256"/>
      <c r="K12" s="115"/>
      <c r="L12" s="114"/>
    </row>
    <row r="13" spans="1:12" s="4" customFormat="1" ht="20.25" customHeight="1">
      <c r="A13" s="114"/>
      <c r="B13" s="115"/>
      <c r="C13" s="253" t="str">
        <f>ALLOWANCE1!C21</f>
        <v>Tjänsteresa inom Sverige S2</v>
      </c>
      <c r="D13" s="252"/>
      <c r="E13" s="252"/>
      <c r="F13" s="123">
        <f>ALLOWANCE1!J30</f>
        <v>0</v>
      </c>
      <c r="G13" s="256"/>
      <c r="H13" s="256"/>
      <c r="I13" s="256"/>
      <c r="J13" s="256"/>
      <c r="K13" s="115"/>
      <c r="L13" s="114"/>
    </row>
    <row r="14" spans="1:12" s="4" customFormat="1" ht="20.25" customHeight="1">
      <c r="A14" s="114"/>
      <c r="B14" s="115"/>
      <c r="C14" s="253" t="str">
        <f>ALLOWANCE1!C32</f>
        <v>Tjänsteresa inom Sverige S3</v>
      </c>
      <c r="D14" s="252"/>
      <c r="E14" s="252"/>
      <c r="F14" s="123">
        <f>ALLOWANCE1!J41</f>
        <v>0</v>
      </c>
      <c r="G14" s="256"/>
      <c r="H14" s="256"/>
      <c r="I14" s="256"/>
      <c r="J14" s="256"/>
      <c r="K14" s="115"/>
      <c r="L14" s="114"/>
    </row>
    <row r="15" spans="1:12" s="4" customFormat="1" ht="20.25" customHeight="1">
      <c r="A15" s="114"/>
      <c r="B15" s="115"/>
      <c r="C15" s="253" t="str">
        <f>ALLOWANCE2!C10</f>
        <v>Tjänsteresa inom Sverige S4</v>
      </c>
      <c r="D15" s="252"/>
      <c r="E15" s="252"/>
      <c r="F15" s="123">
        <f>ALLOWANCE2!J19</f>
        <v>0</v>
      </c>
      <c r="G15" s="256"/>
      <c r="H15" s="256"/>
      <c r="I15" s="256"/>
      <c r="J15" s="256"/>
      <c r="K15" s="115"/>
      <c r="L15" s="114"/>
    </row>
    <row r="16" spans="1:12" s="4" customFormat="1" ht="20.25" customHeight="1">
      <c r="A16" s="114"/>
      <c r="B16" s="115"/>
      <c r="C16" s="253" t="str">
        <f>ALLOWANCE2!C21</f>
        <v>Tjänsteresa inom Sverige S5</v>
      </c>
      <c r="D16" s="252"/>
      <c r="E16" s="252"/>
      <c r="F16" s="123">
        <f>ALLOWANCE2!J30</f>
        <v>0</v>
      </c>
      <c r="G16" s="256"/>
      <c r="H16" s="256"/>
      <c r="I16" s="256"/>
      <c r="J16" s="256"/>
      <c r="K16" s="115"/>
      <c r="L16" s="114"/>
    </row>
    <row r="17" spans="1:12" s="4" customFormat="1" ht="20.25" customHeight="1">
      <c r="A17" s="114"/>
      <c r="B17" s="115"/>
      <c r="C17" s="253" t="str">
        <f>ALLOWANCE2!C32</f>
        <v>Tjänsteresa inom Sverige S6</v>
      </c>
      <c r="D17" s="252"/>
      <c r="E17" s="252"/>
      <c r="F17" s="123">
        <f>ALLOWANCE2!J41</f>
        <v>0</v>
      </c>
      <c r="G17" s="256"/>
      <c r="H17" s="256"/>
      <c r="I17" s="256"/>
      <c r="J17" s="256"/>
      <c r="K17" s="115"/>
      <c r="L17" s="114"/>
    </row>
    <row r="18" spans="1:12" s="4" customFormat="1" ht="20.25" customHeight="1">
      <c r="A18" s="114"/>
      <c r="B18" s="115"/>
      <c r="C18" s="245" t="s">
        <v>132</v>
      </c>
      <c r="D18" s="252"/>
      <c r="E18" s="252"/>
      <c r="F18" s="124">
        <f>SUM(F12:F17)</f>
        <v>1156</v>
      </c>
      <c r="G18" s="256"/>
      <c r="H18" s="256"/>
      <c r="I18" s="256"/>
      <c r="J18" s="256"/>
      <c r="K18" s="115"/>
      <c r="L18" s="114"/>
    </row>
    <row r="19" spans="1:12" s="4" customFormat="1" ht="20.25" customHeight="1">
      <c r="A19" s="114"/>
      <c r="B19" s="115"/>
      <c r="C19" s="256"/>
      <c r="D19" s="256"/>
      <c r="E19" s="256"/>
      <c r="F19" s="256"/>
      <c r="G19" s="256"/>
      <c r="H19" s="256"/>
      <c r="I19" s="256"/>
      <c r="J19" s="256"/>
      <c r="K19" s="115"/>
      <c r="L19" s="114"/>
    </row>
    <row r="20" spans="1:12" s="4" customFormat="1" ht="20.25" customHeight="1">
      <c r="A20" s="114"/>
      <c r="B20" s="115"/>
      <c r="C20" s="245" t="s">
        <v>134</v>
      </c>
      <c r="D20" s="252"/>
      <c r="E20" s="252"/>
      <c r="F20" s="252"/>
      <c r="G20" s="252"/>
      <c r="H20" s="252"/>
      <c r="I20" s="252"/>
      <c r="J20" s="252"/>
      <c r="K20" s="115"/>
      <c r="L20" s="114"/>
    </row>
    <row r="21" spans="1:12" s="4" customFormat="1" ht="20.25" customHeight="1">
      <c r="A21" s="114"/>
      <c r="B21" s="115"/>
      <c r="C21" s="253" t="str">
        <f>ALLOWANCE1!C43</f>
        <v>Tjänsteresa utomlands U1</v>
      </c>
      <c r="D21" s="252"/>
      <c r="E21" s="252"/>
      <c r="F21" s="123">
        <f>ALLOWANCE1!J52</f>
        <v>0</v>
      </c>
      <c r="G21" s="256"/>
      <c r="H21" s="256"/>
      <c r="I21" s="256"/>
      <c r="J21" s="256"/>
      <c r="K21" s="115"/>
      <c r="L21" s="114"/>
    </row>
    <row r="22" spans="1:12" s="4" customFormat="1" ht="20.25" customHeight="1">
      <c r="A22" s="114"/>
      <c r="B22" s="115"/>
      <c r="C22" s="253" t="str">
        <f>ALLOWANCE1!C54</f>
        <v>Tjänsteresa utomlands U2</v>
      </c>
      <c r="D22" s="252"/>
      <c r="E22" s="252"/>
      <c r="F22" s="123">
        <f>ALLOWANCE1!J63</f>
        <v>0</v>
      </c>
      <c r="G22" s="256"/>
      <c r="H22" s="256"/>
      <c r="I22" s="256"/>
      <c r="J22" s="256"/>
      <c r="K22" s="115"/>
      <c r="L22" s="114"/>
    </row>
    <row r="23" spans="1:12" s="4" customFormat="1" ht="20.25" customHeight="1">
      <c r="A23" s="114"/>
      <c r="B23" s="115"/>
      <c r="C23" s="253" t="str">
        <f>ALLOWANCE2!C43</f>
        <v>Tjänsteresa utomlands U3</v>
      </c>
      <c r="D23" s="252"/>
      <c r="E23" s="252"/>
      <c r="F23" s="123">
        <f>ALLOWANCE2!J52</f>
        <v>0</v>
      </c>
      <c r="G23" s="256"/>
      <c r="H23" s="256"/>
      <c r="I23" s="256"/>
      <c r="J23" s="256"/>
      <c r="K23" s="115"/>
      <c r="L23" s="114"/>
    </row>
    <row r="24" spans="1:12" s="4" customFormat="1" ht="20.25" customHeight="1">
      <c r="A24" s="114"/>
      <c r="B24" s="115"/>
      <c r="C24" s="253" t="str">
        <f>ALLOWANCE2!C54</f>
        <v>Tjänsteresa utomlands U4</v>
      </c>
      <c r="D24" s="252"/>
      <c r="E24" s="252"/>
      <c r="F24" s="123">
        <f>ALLOWANCE2!J63</f>
        <v>0</v>
      </c>
      <c r="G24" s="256"/>
      <c r="H24" s="256"/>
      <c r="I24" s="256"/>
      <c r="J24" s="256"/>
      <c r="K24" s="115"/>
      <c r="L24" s="114"/>
    </row>
    <row r="25" spans="1:12" s="4" customFormat="1" ht="20.25" customHeight="1">
      <c r="A25" s="114"/>
      <c r="B25" s="115"/>
      <c r="C25" s="245" t="s">
        <v>135</v>
      </c>
      <c r="D25" s="252"/>
      <c r="E25" s="252"/>
      <c r="F25" s="124">
        <f>SUM(F21:F24)</f>
        <v>0</v>
      </c>
      <c r="G25" s="256"/>
      <c r="H25" s="256"/>
      <c r="I25" s="256"/>
      <c r="J25" s="256"/>
      <c r="K25" s="115"/>
      <c r="L25" s="114"/>
    </row>
    <row r="26" spans="1:12" s="4" customFormat="1" ht="10" customHeight="1">
      <c r="A26" s="114"/>
      <c r="B26" s="115"/>
      <c r="C26" s="126"/>
      <c r="D26" s="126"/>
      <c r="E26" s="126"/>
      <c r="F26" s="124"/>
      <c r="G26" s="126"/>
      <c r="H26" s="126"/>
      <c r="I26" s="126"/>
      <c r="J26" s="126"/>
      <c r="K26" s="115"/>
      <c r="L26" s="114"/>
    </row>
    <row r="27" spans="1:12" ht="18" customHeight="1">
      <c r="A27" s="93"/>
      <c r="B27" s="93"/>
      <c r="C27" s="93"/>
      <c r="D27" s="125"/>
      <c r="E27" s="125"/>
      <c r="F27" s="125"/>
      <c r="G27" s="125"/>
      <c r="H27" s="125"/>
      <c r="I27" s="93"/>
      <c r="J27" s="93"/>
      <c r="K27" s="93"/>
      <c r="L27" s="93"/>
    </row>
  </sheetData>
  <sheetProtection sheet="1" objects="1" scenarios="1"/>
  <mergeCells count="45">
    <mergeCell ref="C1:J1"/>
    <mergeCell ref="C2:J2"/>
    <mergeCell ref="C3:J3"/>
    <mergeCell ref="C4:D4"/>
    <mergeCell ref="E4:G4"/>
    <mergeCell ref="I4:J4"/>
    <mergeCell ref="C16:E16"/>
    <mergeCell ref="C15:E15"/>
    <mergeCell ref="G13:J13"/>
    <mergeCell ref="G14:J14"/>
    <mergeCell ref="C8:J8"/>
    <mergeCell ref="C25:E25"/>
    <mergeCell ref="G21:J21"/>
    <mergeCell ref="G22:J22"/>
    <mergeCell ref="G23:J23"/>
    <mergeCell ref="G24:J24"/>
    <mergeCell ref="G25:J25"/>
    <mergeCell ref="C21:E21"/>
    <mergeCell ref="C22:E22"/>
    <mergeCell ref="C18:E18"/>
    <mergeCell ref="C17:E17"/>
    <mergeCell ref="C23:E23"/>
    <mergeCell ref="C24:E24"/>
    <mergeCell ref="C10:J10"/>
    <mergeCell ref="C11:J11"/>
    <mergeCell ref="C19:J19"/>
    <mergeCell ref="C20:J20"/>
    <mergeCell ref="C14:E14"/>
    <mergeCell ref="C13:E13"/>
    <mergeCell ref="C12:E12"/>
    <mergeCell ref="G12:J12"/>
    <mergeCell ref="G15:J15"/>
    <mergeCell ref="G16:J16"/>
    <mergeCell ref="G18:J18"/>
    <mergeCell ref="G17:J17"/>
    <mergeCell ref="C6:D6"/>
    <mergeCell ref="C9:J9"/>
    <mergeCell ref="E5:G5"/>
    <mergeCell ref="I5:J5"/>
    <mergeCell ref="E6:G6"/>
    <mergeCell ref="E7:G7"/>
    <mergeCell ref="C5:D5"/>
    <mergeCell ref="C7:D7"/>
    <mergeCell ref="I7:J7"/>
    <mergeCell ref="I6:J6"/>
  </mergeCells>
  <phoneticPr fontId="0" type="noConversion"/>
  <dataValidations count="1">
    <dataValidation allowBlank="1" sqref="E4:G7 C4:C7 I4 I5:J5 I6 I7" xr:uid="{00000000-0002-0000-0500-000000000000}"/>
  </dataValidations>
  <hyperlinks>
    <hyperlink ref="C1" location="Huvudmeny!B2" tooltip="Klicka för att gå till huvudmenyn" display="T I L L  H U V U D M E N Y N" xr:uid="{00000000-0004-0000-0500-000000000000}"/>
    <hyperlink ref="C1:J1" location="MM!B2" tooltip="Klicka för att gå till huvudmenyn" display="T I L L  H U V U D M E N Y N" xr:uid="{00000000-0004-0000-0500-000001000000}"/>
  </hyperlinks>
  <printOptions horizontalCentered="1"/>
  <pageMargins left="0.51181102362204722" right="0.51181102362204722" top="0.98425196850393704" bottom="0.98425196850393704" header="0.51181102362204722" footer="0.39370078740157483"/>
  <pageSetup paperSize="9" orientation="portrait" blackAndWhite="1" r:id="rId1"/>
  <headerFooter alignWithMargins="0">
    <oddFooter>&amp;L&amp;"Arial,Normal"&amp;6Copyright DokuMera
&amp;"Arial,Normal"&amp;6DM 1189 &amp;"Arial,Normal"&amp;6V 1.52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sheetPr>
  <dimension ref="A1:H321"/>
  <sheetViews>
    <sheetView showGridLines="0" showRowColHeaders="0" showOutlineSymbols="0" defaultGridColor="0" colorId="12" zoomScale="120" zoomScaleNormal="120" zoomScaleSheetLayoutView="55" workbookViewId="0">
      <pane ySplit="5" topLeftCell="A6" activePane="bottomLeft" state="frozen"/>
      <selection pane="bottomLeft" activeCell="B2" sqref="B2"/>
    </sheetView>
  </sheetViews>
  <sheetFormatPr defaultColWidth="3.7265625" defaultRowHeight="12.5"/>
  <cols>
    <col min="1" max="1" width="3.7265625" style="1" customWidth="1"/>
    <col min="2" max="2" width="2.26953125" style="1" customWidth="1"/>
    <col min="3" max="3" width="30.7265625" style="1" customWidth="1"/>
    <col min="4" max="5" width="15.7265625" style="1" customWidth="1"/>
    <col min="6" max="6" width="17.26953125" style="1" customWidth="1"/>
    <col min="7" max="7" width="2.26953125" style="1" customWidth="1"/>
    <col min="8" max="9" width="3.7265625" style="1" customWidth="1"/>
    <col min="10" max="10" width="8.453125" style="1" bestFit="1" customWidth="1"/>
    <col min="11" max="16384" width="3.7265625" style="1"/>
  </cols>
  <sheetData>
    <row r="1" spans="1:8" ht="18" customHeight="1">
      <c r="A1" s="93"/>
      <c r="B1" s="93"/>
      <c r="C1" s="259" t="s">
        <v>138</v>
      </c>
      <c r="D1" s="259"/>
      <c r="E1" s="259"/>
      <c r="F1" s="259"/>
      <c r="G1" s="93"/>
      <c r="H1" s="93"/>
    </row>
    <row r="2" spans="1:8" ht="36" customHeight="1">
      <c r="A2" s="93"/>
      <c r="B2" s="90"/>
      <c r="C2" s="187" t="s">
        <v>156</v>
      </c>
      <c r="D2" s="187"/>
      <c r="E2" s="187"/>
      <c r="F2" s="187"/>
      <c r="G2" s="91"/>
      <c r="H2" s="93"/>
    </row>
    <row r="3" spans="1:8" ht="18" customHeight="1">
      <c r="A3" s="93"/>
      <c r="B3" s="90"/>
      <c r="C3" s="261" t="str">
        <f>DmTitleRow01ForSheetHeaders</f>
        <v>TRAKTAMENTSRÄKNING</v>
      </c>
      <c r="D3" s="261"/>
      <c r="E3" s="261"/>
      <c r="F3" s="261"/>
      <c r="G3" s="92"/>
      <c r="H3" s="93"/>
    </row>
    <row r="4" spans="1:8" ht="18" customHeight="1">
      <c r="A4" s="93"/>
      <c r="B4" s="90"/>
      <c r="C4" s="261">
        <f>DmTitleRow02ForSheetHeaders</f>
        <v>2023</v>
      </c>
      <c r="D4" s="261"/>
      <c r="E4" s="261"/>
      <c r="F4" s="261"/>
      <c r="G4" s="92"/>
      <c r="H4" s="93"/>
    </row>
    <row r="5" spans="1:8" ht="10" customHeight="1">
      <c r="A5" s="93"/>
      <c r="B5" s="93"/>
      <c r="C5" s="262"/>
      <c r="D5" s="262"/>
      <c r="E5" s="262"/>
      <c r="F5" s="262"/>
      <c r="G5" s="94"/>
      <c r="H5" s="93"/>
    </row>
    <row r="6" spans="1:8" ht="10" customHeight="1">
      <c r="A6" s="93"/>
      <c r="B6" s="90"/>
      <c r="C6" s="263"/>
      <c r="D6" s="263"/>
      <c r="E6" s="263"/>
      <c r="F6" s="263"/>
      <c r="G6" s="92"/>
      <c r="H6" s="93"/>
    </row>
    <row r="7" spans="1:8" ht="30" customHeight="1">
      <c r="A7" s="96"/>
      <c r="B7" s="95"/>
      <c r="C7" s="270" t="s">
        <v>284</v>
      </c>
      <c r="D7" s="271"/>
      <c r="E7" s="271"/>
      <c r="F7" s="272"/>
      <c r="G7" s="95"/>
      <c r="H7" s="93"/>
    </row>
    <row r="8" spans="1:8" ht="30" customHeight="1">
      <c r="A8" s="96"/>
      <c r="B8" s="95"/>
      <c r="C8" s="273" t="s">
        <v>285</v>
      </c>
      <c r="D8" s="274"/>
      <c r="E8" s="274"/>
      <c r="F8" s="275"/>
      <c r="G8" s="95"/>
      <c r="H8" s="93"/>
    </row>
    <row r="9" spans="1:8" ht="30" customHeight="1">
      <c r="A9" s="96"/>
      <c r="B9" s="95"/>
      <c r="C9" s="276" t="s">
        <v>286</v>
      </c>
      <c r="D9" s="277"/>
      <c r="E9" s="277"/>
      <c r="F9" s="278"/>
      <c r="G9" s="95"/>
      <c r="H9" s="93"/>
    </row>
    <row r="10" spans="1:8">
      <c r="A10" s="96"/>
      <c r="B10" s="95"/>
      <c r="C10" s="95"/>
      <c r="D10" s="95"/>
      <c r="E10" s="95"/>
      <c r="F10" s="95"/>
      <c r="G10" s="95"/>
      <c r="H10" s="93"/>
    </row>
    <row r="11" spans="1:8" ht="20.25" customHeight="1">
      <c r="A11" s="96"/>
      <c r="B11" s="95"/>
      <c r="C11" s="264" t="s">
        <v>287</v>
      </c>
      <c r="D11" s="265"/>
      <c r="E11" s="265"/>
      <c r="F11" s="266"/>
      <c r="G11" s="90"/>
      <c r="H11" s="93"/>
    </row>
    <row r="12" spans="1:8" ht="20.25" customHeight="1">
      <c r="A12" s="96"/>
      <c r="B12" s="95"/>
      <c r="C12" s="267" t="s">
        <v>288</v>
      </c>
      <c r="D12" s="268"/>
      <c r="E12" s="268"/>
      <c r="F12" s="269"/>
      <c r="G12" s="90"/>
      <c r="H12" s="93"/>
    </row>
    <row r="13" spans="1:8">
      <c r="A13" s="96"/>
      <c r="B13" s="95"/>
      <c r="C13" s="95"/>
      <c r="D13" s="95"/>
      <c r="E13" s="95"/>
      <c r="F13" s="95"/>
      <c r="G13" s="95"/>
      <c r="H13" s="93"/>
    </row>
    <row r="14" spans="1:8" ht="20.25" customHeight="1">
      <c r="A14" s="96"/>
      <c r="B14" s="95"/>
      <c r="C14" s="264" t="s">
        <v>289</v>
      </c>
      <c r="D14" s="265"/>
      <c r="E14" s="265"/>
      <c r="F14" s="266"/>
      <c r="G14" s="90"/>
      <c r="H14" s="93"/>
    </row>
    <row r="15" spans="1:8" ht="20.25" customHeight="1">
      <c r="A15" s="96"/>
      <c r="B15" s="95"/>
      <c r="C15" s="267">
        <v>2023</v>
      </c>
      <c r="D15" s="268"/>
      <c r="E15" s="268"/>
      <c r="F15" s="269"/>
      <c r="G15" s="90"/>
      <c r="H15" s="93"/>
    </row>
    <row r="16" spans="1:8">
      <c r="A16" s="96"/>
      <c r="B16" s="95"/>
      <c r="C16" s="95"/>
      <c r="D16" s="95"/>
      <c r="E16" s="95"/>
      <c r="F16" s="95"/>
      <c r="G16" s="95"/>
      <c r="H16" s="93"/>
    </row>
    <row r="17" spans="1:8" ht="12" customHeight="1">
      <c r="A17" s="93"/>
      <c r="B17" s="90"/>
      <c r="C17" s="29" t="s">
        <v>301</v>
      </c>
      <c r="D17" s="90"/>
      <c r="E17" s="43" t="s">
        <v>225</v>
      </c>
      <c r="F17" s="46"/>
      <c r="G17" s="90"/>
      <c r="H17" s="93"/>
    </row>
    <row r="18" spans="1:8" ht="24" customHeight="1">
      <c r="A18" s="93"/>
      <c r="B18" s="90"/>
      <c r="C18" s="39"/>
      <c r="D18" s="90"/>
      <c r="E18" s="79">
        <f>TIME(12,0,0)</f>
        <v>0.5</v>
      </c>
      <c r="F18" s="80"/>
      <c r="G18" s="90"/>
      <c r="H18" s="93"/>
    </row>
    <row r="19" spans="1:8">
      <c r="A19" s="93"/>
      <c r="B19" s="90"/>
      <c r="C19" s="90"/>
      <c r="D19" s="90"/>
      <c r="E19" s="90"/>
      <c r="F19" s="90"/>
      <c r="G19" s="90"/>
      <c r="H19" s="93"/>
    </row>
    <row r="20" spans="1:8">
      <c r="A20" s="93"/>
      <c r="B20" s="90"/>
      <c r="C20" s="29" t="s">
        <v>301</v>
      </c>
      <c r="D20" s="90"/>
      <c r="E20" s="43" t="s">
        <v>226</v>
      </c>
      <c r="F20" s="46"/>
      <c r="G20" s="90"/>
      <c r="H20" s="93"/>
    </row>
    <row r="21" spans="1:8" ht="20.25" customHeight="1">
      <c r="A21" s="93"/>
      <c r="B21" s="90"/>
      <c r="C21" s="39"/>
      <c r="D21" s="90"/>
      <c r="E21" s="79">
        <f>TIME(19,0,0)</f>
        <v>0.79166666666666663</v>
      </c>
      <c r="F21" s="80"/>
      <c r="G21" s="90"/>
      <c r="H21" s="93"/>
    </row>
    <row r="22" spans="1:8">
      <c r="A22" s="93"/>
      <c r="B22" s="90"/>
      <c r="C22" s="90"/>
      <c r="D22" s="90"/>
      <c r="E22" s="90"/>
      <c r="F22" s="90"/>
      <c r="G22" s="90"/>
      <c r="H22" s="93"/>
    </row>
    <row r="23" spans="1:8">
      <c r="A23" s="93"/>
      <c r="B23" s="90"/>
      <c r="C23" s="29" t="s">
        <v>159</v>
      </c>
      <c r="D23" s="90"/>
      <c r="E23" s="43" t="s">
        <v>280</v>
      </c>
      <c r="F23" s="132"/>
      <c r="G23" s="90"/>
      <c r="H23" s="93"/>
    </row>
    <row r="24" spans="1:8" ht="12" customHeight="1">
      <c r="A24" s="93"/>
      <c r="B24" s="90"/>
      <c r="C24" s="31" t="b">
        <v>0</v>
      </c>
      <c r="D24" s="90"/>
      <c r="E24" s="44" t="b">
        <v>1</v>
      </c>
      <c r="F24" s="77"/>
      <c r="G24" s="90"/>
      <c r="H24" s="93"/>
    </row>
    <row r="25" spans="1:8" ht="12" customHeight="1">
      <c r="A25" s="93"/>
      <c r="B25" s="90"/>
      <c r="C25" s="31" t="b">
        <v>0</v>
      </c>
      <c r="D25" s="90"/>
      <c r="E25" s="44" t="b">
        <v>0</v>
      </c>
      <c r="F25" s="77"/>
      <c r="G25" s="90"/>
      <c r="H25" s="93"/>
    </row>
    <row r="26" spans="1:8" ht="12" customHeight="1">
      <c r="A26" s="93"/>
      <c r="B26" s="90"/>
      <c r="C26" s="31" t="b">
        <v>0</v>
      </c>
      <c r="D26" s="90"/>
      <c r="E26" s="44" t="b">
        <v>0</v>
      </c>
      <c r="F26" s="77"/>
      <c r="G26" s="90"/>
      <c r="H26" s="93"/>
    </row>
    <row r="27" spans="1:8" ht="12" customHeight="1">
      <c r="A27" s="93"/>
      <c r="B27" s="90"/>
      <c r="C27" s="31" t="b">
        <v>0</v>
      </c>
      <c r="D27" s="90"/>
      <c r="E27" s="44" t="b">
        <v>0</v>
      </c>
      <c r="F27" s="77"/>
      <c r="G27" s="90"/>
      <c r="H27" s="93"/>
    </row>
    <row r="28" spans="1:8" ht="12" customHeight="1">
      <c r="A28" s="93"/>
      <c r="B28" s="90"/>
      <c r="C28" s="30" t="b">
        <v>0</v>
      </c>
      <c r="D28" s="90"/>
      <c r="E28" s="45" t="b">
        <v>0</v>
      </c>
      <c r="F28" s="78"/>
      <c r="G28" s="90"/>
      <c r="H28" s="93"/>
    </row>
    <row r="29" spans="1:8" ht="12" customHeight="1">
      <c r="A29" s="93"/>
      <c r="B29" s="90"/>
      <c r="C29" s="133"/>
      <c r="D29" s="90"/>
      <c r="E29" s="133"/>
      <c r="F29" s="134"/>
      <c r="G29" s="90"/>
      <c r="H29" s="93"/>
    </row>
    <row r="30" spans="1:8" ht="12" customHeight="1">
      <c r="A30" s="93"/>
      <c r="B30" s="90"/>
      <c r="C30" s="29" t="s">
        <v>172</v>
      </c>
      <c r="D30" s="90"/>
      <c r="E30" s="280" t="s">
        <v>281</v>
      </c>
      <c r="F30" s="281"/>
      <c r="G30" s="90"/>
      <c r="H30" s="93"/>
    </row>
    <row r="31" spans="1:8" ht="12" customHeight="1">
      <c r="A31" s="93"/>
      <c r="B31" s="90"/>
      <c r="C31" s="84" t="b">
        <v>1</v>
      </c>
      <c r="D31" s="90"/>
      <c r="E31" s="260">
        <f>IF(C31=TRUE,ALLOWANCE1!H14*(D301/2),0)</f>
        <v>520</v>
      </c>
      <c r="F31" s="252"/>
      <c r="G31" s="90"/>
      <c r="H31" s="93"/>
    </row>
    <row r="32" spans="1:8" ht="12" customHeight="1">
      <c r="A32" s="93"/>
      <c r="B32" s="90"/>
      <c r="C32" s="84" t="b">
        <v>0</v>
      </c>
      <c r="D32" s="90"/>
      <c r="E32" s="260">
        <f>IF(C32=TRUE,ALLOWANCE1!H25*(D301/2),0)</f>
        <v>0</v>
      </c>
      <c r="F32" s="252"/>
      <c r="G32" s="90"/>
      <c r="H32" s="93"/>
    </row>
    <row r="33" spans="1:8" ht="12" customHeight="1">
      <c r="A33" s="93"/>
      <c r="B33" s="90"/>
      <c r="C33" s="84" t="b">
        <v>0</v>
      </c>
      <c r="D33" s="90"/>
      <c r="E33" s="260">
        <f>IF(C33=TRUE,ALLOWANCE1!H36*(D301/2),0)</f>
        <v>0</v>
      </c>
      <c r="F33" s="252"/>
      <c r="G33" s="90"/>
      <c r="H33" s="93"/>
    </row>
    <row r="34" spans="1:8" ht="12" customHeight="1">
      <c r="A34" s="93"/>
      <c r="B34" s="90"/>
      <c r="C34" s="84" t="b">
        <v>0</v>
      </c>
      <c r="D34" s="90"/>
      <c r="E34" s="260">
        <f>IF(C34=TRUE,ALLOWANCE1!H47*(ALLOWANCE1!I46/2),0)</f>
        <v>0</v>
      </c>
      <c r="F34" s="252"/>
      <c r="G34" s="90"/>
      <c r="H34" s="93"/>
    </row>
    <row r="35" spans="1:8" ht="12" customHeight="1">
      <c r="A35" s="93"/>
      <c r="B35" s="90"/>
      <c r="C35" s="84" t="b">
        <v>0</v>
      </c>
      <c r="D35" s="90"/>
      <c r="E35" s="260">
        <f>IF(C35=TRUE,ALLOWANCE1!H58*(ALLOWANCE1!I57/2),0)</f>
        <v>0</v>
      </c>
      <c r="F35" s="252"/>
      <c r="G35" s="90"/>
      <c r="H35" s="93"/>
    </row>
    <row r="36" spans="1:8">
      <c r="A36" s="93"/>
      <c r="B36" s="90"/>
      <c r="C36" s="90"/>
      <c r="D36" s="90"/>
      <c r="E36" s="90"/>
      <c r="F36" s="90"/>
      <c r="G36" s="90"/>
      <c r="H36" s="93"/>
    </row>
    <row r="37" spans="1:8">
      <c r="A37" s="93"/>
      <c r="B37" s="90"/>
      <c r="C37" s="29" t="s">
        <v>160</v>
      </c>
      <c r="D37" s="90"/>
      <c r="E37" s="43" t="s">
        <v>283</v>
      </c>
      <c r="F37" s="46"/>
      <c r="G37" s="90"/>
      <c r="H37" s="93"/>
    </row>
    <row r="38" spans="1:8" ht="12" customHeight="1">
      <c r="A38" s="93"/>
      <c r="B38" s="90"/>
      <c r="C38" s="31" t="b">
        <v>0</v>
      </c>
      <c r="D38" s="90"/>
      <c r="E38" s="44" t="b">
        <v>0</v>
      </c>
      <c r="F38" s="77"/>
      <c r="G38" s="90"/>
      <c r="H38" s="93"/>
    </row>
    <row r="39" spans="1:8" ht="12" customHeight="1">
      <c r="A39" s="93"/>
      <c r="B39" s="90"/>
      <c r="C39" s="31" t="b">
        <v>0</v>
      </c>
      <c r="D39" s="90"/>
      <c r="E39" s="44" t="b">
        <v>0</v>
      </c>
      <c r="F39" s="77"/>
      <c r="G39" s="90"/>
      <c r="H39" s="93"/>
    </row>
    <row r="40" spans="1:8" ht="12" customHeight="1">
      <c r="A40" s="93"/>
      <c r="B40" s="90"/>
      <c r="C40" s="31" t="b">
        <v>0</v>
      </c>
      <c r="D40" s="90"/>
      <c r="E40" s="44" t="b">
        <v>0</v>
      </c>
      <c r="F40" s="77"/>
      <c r="G40" s="90"/>
      <c r="H40" s="93"/>
    </row>
    <row r="41" spans="1:8" ht="12" customHeight="1">
      <c r="A41" s="93"/>
      <c r="B41" s="90"/>
      <c r="C41" s="31" t="b">
        <v>0</v>
      </c>
      <c r="D41" s="90"/>
      <c r="E41" s="44" t="b">
        <v>0</v>
      </c>
      <c r="F41" s="77"/>
      <c r="G41" s="90"/>
      <c r="H41" s="93"/>
    </row>
    <row r="42" spans="1:8" ht="12" customHeight="1">
      <c r="A42" s="93"/>
      <c r="B42" s="90"/>
      <c r="C42" s="30" t="b">
        <v>0</v>
      </c>
      <c r="D42" s="90"/>
      <c r="E42" s="45" t="b">
        <v>0</v>
      </c>
      <c r="F42" s="78"/>
      <c r="G42" s="90"/>
      <c r="H42" s="93"/>
    </row>
    <row r="43" spans="1:8" ht="12" customHeight="1">
      <c r="A43" s="93"/>
      <c r="B43" s="90"/>
      <c r="C43" s="135"/>
      <c r="D43" s="90"/>
      <c r="E43" s="135"/>
      <c r="F43" s="137"/>
      <c r="G43" s="90"/>
      <c r="H43" s="93"/>
    </row>
    <row r="44" spans="1:8" ht="12" customHeight="1">
      <c r="A44" s="93"/>
      <c r="B44" s="90"/>
      <c r="C44" s="29" t="s">
        <v>173</v>
      </c>
      <c r="D44" s="90"/>
      <c r="E44" s="280" t="s">
        <v>282</v>
      </c>
      <c r="F44" s="281"/>
      <c r="G44" s="90"/>
      <c r="H44" s="93"/>
    </row>
    <row r="45" spans="1:8" ht="12" customHeight="1">
      <c r="A45" s="93"/>
      <c r="B45" s="90"/>
      <c r="C45" s="84" t="b">
        <v>0</v>
      </c>
      <c r="D45" s="90"/>
      <c r="E45" s="260">
        <f>IF(C45=TRUE,ALLOWANCE2!H14*(D301/2),0)</f>
        <v>0</v>
      </c>
      <c r="F45" s="252"/>
      <c r="G45" s="90"/>
      <c r="H45" s="93"/>
    </row>
    <row r="46" spans="1:8" ht="12" customHeight="1">
      <c r="A46" s="93"/>
      <c r="B46" s="90"/>
      <c r="C46" s="84" t="b">
        <v>0</v>
      </c>
      <c r="D46" s="90"/>
      <c r="E46" s="260">
        <f>IF(C46=TRUE,ALLOWANCE2!H25*(D301/2),0)</f>
        <v>0</v>
      </c>
      <c r="F46" s="252"/>
      <c r="G46" s="90"/>
      <c r="H46" s="93"/>
    </row>
    <row r="47" spans="1:8" ht="12" customHeight="1">
      <c r="A47" s="93"/>
      <c r="B47" s="90"/>
      <c r="C47" s="84" t="b">
        <v>0</v>
      </c>
      <c r="D47" s="90"/>
      <c r="E47" s="260">
        <f>IF(C47=TRUE,ALLOWANCE2!H36*(D301/2),0)</f>
        <v>0</v>
      </c>
      <c r="F47" s="252"/>
      <c r="G47" s="90"/>
      <c r="H47" s="93"/>
    </row>
    <row r="48" spans="1:8" ht="12" customHeight="1">
      <c r="A48" s="93"/>
      <c r="B48" s="90"/>
      <c r="C48" s="84" t="b">
        <v>0</v>
      </c>
      <c r="D48" s="90"/>
      <c r="E48" s="260">
        <f>IF(C48=TRUE,ALLOWANCE2!H47*(ALLOWANCE2!I46/2),0)</f>
        <v>0</v>
      </c>
      <c r="F48" s="252"/>
      <c r="G48" s="90"/>
      <c r="H48" s="93"/>
    </row>
    <row r="49" spans="1:8" ht="12" customHeight="1">
      <c r="A49" s="93"/>
      <c r="B49" s="90"/>
      <c r="C49" s="84" t="b">
        <v>0</v>
      </c>
      <c r="D49" s="90"/>
      <c r="E49" s="260">
        <f>IF(C49=TRUE,ALLOWANCE2!H58*(ALLOWANCE2!I57/2),0)</f>
        <v>0</v>
      </c>
      <c r="F49" s="252"/>
      <c r="G49" s="90"/>
      <c r="H49" s="93"/>
    </row>
    <row r="50" spans="1:8" ht="13" thickBot="1">
      <c r="A50" s="93"/>
      <c r="B50" s="90"/>
      <c r="C50" s="90"/>
      <c r="D50" s="90"/>
      <c r="E50" s="90"/>
      <c r="F50" s="90"/>
      <c r="G50" s="90"/>
      <c r="H50" s="93"/>
    </row>
    <row r="51" spans="1:8" ht="12" customHeight="1">
      <c r="A51" s="93"/>
      <c r="B51" s="90"/>
      <c r="C51" s="62" t="s">
        <v>168</v>
      </c>
      <c r="D51" s="90"/>
      <c r="E51" s="64" t="s">
        <v>188</v>
      </c>
      <c r="F51" s="65"/>
      <c r="G51" s="90"/>
      <c r="H51" s="93"/>
    </row>
    <row r="52" spans="1:8" ht="20.25" customHeight="1">
      <c r="A52" s="93"/>
      <c r="B52" s="90"/>
      <c r="C52" s="68">
        <f>IF(ALLOWANCE1!$D$13="",0,IF(ALLOWANCE1!$F$13="",0,IF(Accomodations11&gt;0,AllowanceDays11,0)))</f>
        <v>4.5</v>
      </c>
      <c r="D52" s="90"/>
      <c r="E52" s="69">
        <f>IF(ALLOWANCE2!$D$13="",0,IF(ALLOWANCE2!$F$13="",0,IF(Accomodations21&gt;0,AllowanceDays21,0)))</f>
        <v>0</v>
      </c>
      <c r="F52" s="70"/>
      <c r="G52" s="90"/>
      <c r="H52" s="93"/>
    </row>
    <row r="53" spans="1:8">
      <c r="A53" s="93"/>
      <c r="B53" s="90"/>
      <c r="C53" s="136"/>
      <c r="D53" s="90"/>
      <c r="E53" s="138"/>
      <c r="F53" s="139"/>
      <c r="G53" s="90"/>
      <c r="H53" s="93"/>
    </row>
    <row r="54" spans="1:8" ht="12" customHeight="1">
      <c r="A54" s="93"/>
      <c r="B54" s="90"/>
      <c r="C54" s="63" t="s">
        <v>167</v>
      </c>
      <c r="D54" s="90"/>
      <c r="E54" s="66" t="s">
        <v>189</v>
      </c>
      <c r="F54" s="67"/>
      <c r="G54" s="90"/>
      <c r="H54" s="93"/>
    </row>
    <row r="55" spans="1:8" ht="20.25" customHeight="1">
      <c r="A55" s="93"/>
      <c r="B55" s="90"/>
      <c r="C55" s="68">
        <f>(ALLOWANCE1!$F$13-ALLOWANCE1!$D$13-1+IF(ArrivalTime11&lt;TIME(6,0,0),0,1))</f>
        <v>4</v>
      </c>
      <c r="D55" s="90"/>
      <c r="E55" s="69">
        <f>(ALLOWANCE2!$F$13-ALLOWANCE2!$D$13-1+IF(ArrivalTime21&lt;TIME(6,0,0),0,1))</f>
        <v>-1</v>
      </c>
      <c r="F55" s="70"/>
      <c r="G55" s="90"/>
      <c r="H55" s="93"/>
    </row>
    <row r="56" spans="1:8">
      <c r="A56" s="93"/>
      <c r="B56" s="90"/>
      <c r="C56" s="136"/>
      <c r="D56" s="90"/>
      <c r="E56" s="138"/>
      <c r="F56" s="139"/>
      <c r="G56" s="90"/>
      <c r="H56" s="93"/>
    </row>
    <row r="57" spans="1:8" ht="12" customHeight="1">
      <c r="A57" s="93"/>
      <c r="B57" s="90"/>
      <c r="C57" s="63" t="s">
        <v>166</v>
      </c>
      <c r="D57" s="90"/>
      <c r="E57" s="66" t="s">
        <v>190</v>
      </c>
      <c r="F57" s="67"/>
      <c r="G57" s="90"/>
      <c r="H57" s="93"/>
    </row>
    <row r="58" spans="1:8" ht="20.25" customHeight="1">
      <c r="A58" s="93"/>
      <c r="B58" s="90"/>
      <c r="C58" s="68">
        <f>(ALLOWANCE1!$F$13-ALLOWANCE1!$D$13-1+IF(DepartureTime11&gt;TIME(0,0,0),IF(DepartureTime11&lt;DepartureTimeThresholdHalf,1,0.5),0.5)+IF(ArrivalTime11&gt;ArrivalTimeThresholdHalf,1,0.5))</f>
        <v>4.5</v>
      </c>
      <c r="D58" s="90"/>
      <c r="E58" s="69">
        <f>(ALLOWANCE2!$F$13-ALLOWANCE2!$D$13-1+IF(DepartureTime21&gt;TIME(0,0,0),IF(DepartureTime21&lt;DepartureTimeThresholdHalf,1,0.5),0.5)+IF(ArrivalTime21&gt;ArrivalTimeThresholdHalf,1,0.5))</f>
        <v>0</v>
      </c>
      <c r="F58" s="70"/>
      <c r="G58" s="90"/>
      <c r="H58" s="93"/>
    </row>
    <row r="59" spans="1:8">
      <c r="A59" s="93"/>
      <c r="B59" s="90"/>
      <c r="C59" s="136"/>
      <c r="D59" s="90"/>
      <c r="E59" s="138"/>
      <c r="F59" s="139"/>
      <c r="G59" s="90"/>
      <c r="H59" s="93"/>
    </row>
    <row r="60" spans="1:8" ht="12" customHeight="1">
      <c r="A60" s="93"/>
      <c r="B60" s="90"/>
      <c r="C60" s="63" t="s">
        <v>165</v>
      </c>
      <c r="D60" s="90"/>
      <c r="E60" s="66" t="s">
        <v>191</v>
      </c>
      <c r="F60" s="67"/>
      <c r="G60" s="90"/>
      <c r="H60" s="93"/>
    </row>
    <row r="61" spans="1:8" ht="20.25" customHeight="1">
      <c r="A61" s="93"/>
      <c r="B61" s="90"/>
      <c r="C61" s="68">
        <f>TIME(HOUR(ALLOWANCE1!$E$13),MINUTE(ALLOWANCE1!$E$13),SECOND(ALLOWANCE1!$E$13))</f>
        <v>0.33333333333333331</v>
      </c>
      <c r="D61" s="90"/>
      <c r="E61" s="69">
        <f>TIME(HOUR(ALLOWANCE2!$E$13),MINUTE(ALLOWANCE2!$E$13),SECOND(ALLOWANCE2!$E$13))</f>
        <v>0</v>
      </c>
      <c r="F61" s="70"/>
      <c r="G61" s="90"/>
      <c r="H61" s="93"/>
    </row>
    <row r="62" spans="1:8">
      <c r="A62" s="93"/>
      <c r="B62" s="90"/>
      <c r="C62" s="136"/>
      <c r="D62" s="90"/>
      <c r="E62" s="138"/>
      <c r="F62" s="139"/>
      <c r="G62" s="90"/>
      <c r="H62" s="93"/>
    </row>
    <row r="63" spans="1:8" ht="12" customHeight="1">
      <c r="A63" s="93"/>
      <c r="B63" s="90"/>
      <c r="C63" s="63" t="s">
        <v>164</v>
      </c>
      <c r="D63" s="90"/>
      <c r="E63" s="66" t="s">
        <v>192</v>
      </c>
      <c r="F63" s="67"/>
      <c r="G63" s="90"/>
      <c r="H63" s="93"/>
    </row>
    <row r="64" spans="1:8" ht="20.25" customHeight="1" thickBot="1">
      <c r="A64" s="93"/>
      <c r="B64" s="90"/>
      <c r="C64" s="71">
        <f>TIME(HOUR(ALLOWANCE1!$G$13),MINUTE(ALLOWANCE1!$G$13),SECOND(ALLOWANCE1!$G$13))</f>
        <v>0.66666666666666663</v>
      </c>
      <c r="D64" s="90"/>
      <c r="E64" s="72">
        <f>TIME(HOUR(ALLOWANCE2!$G$13),MINUTE(ALLOWANCE2!$G$13),SECOND(ALLOWANCE2!$G$13))</f>
        <v>0</v>
      </c>
      <c r="F64" s="73"/>
      <c r="G64" s="90"/>
      <c r="H64" s="93"/>
    </row>
    <row r="65" spans="1:8" ht="13" thickBot="1">
      <c r="A65" s="93"/>
      <c r="B65" s="90"/>
      <c r="C65" s="90"/>
      <c r="D65" s="90"/>
      <c r="E65" s="90"/>
      <c r="F65" s="90"/>
      <c r="G65" s="90"/>
      <c r="H65" s="93"/>
    </row>
    <row r="66" spans="1:8" ht="12" customHeight="1">
      <c r="A66" s="93"/>
      <c r="B66" s="90"/>
      <c r="C66" s="62" t="s">
        <v>178</v>
      </c>
      <c r="D66" s="90"/>
      <c r="E66" s="64" t="s">
        <v>205</v>
      </c>
      <c r="F66" s="65"/>
      <c r="G66" s="90"/>
      <c r="H66" s="93"/>
    </row>
    <row r="67" spans="1:8" ht="20.25" customHeight="1">
      <c r="A67" s="93"/>
      <c r="B67" s="90"/>
      <c r="C67" s="68">
        <f>IF(ALLOWANCE1!$D$24="",0,IF(ALLOWANCE1!$F$24="",0,IF(Accomodations12&gt;0,AllowanceDays12,0)))</f>
        <v>0</v>
      </c>
      <c r="D67" s="90"/>
      <c r="E67" s="69">
        <f>IF(ALLOWANCE2!$D$24="",0,IF(ALLOWANCE2!$F$24="",0,IF(Accomodations22&gt;0,AllowanceDays22,0)))</f>
        <v>0</v>
      </c>
      <c r="F67" s="70"/>
      <c r="G67" s="90"/>
      <c r="H67" s="93"/>
    </row>
    <row r="68" spans="1:8">
      <c r="A68" s="93"/>
      <c r="B68" s="90"/>
      <c r="C68" s="136"/>
      <c r="D68" s="90"/>
      <c r="E68" s="138"/>
      <c r="F68" s="139"/>
      <c r="G68" s="90"/>
      <c r="H68" s="93"/>
    </row>
    <row r="69" spans="1:8" ht="12" customHeight="1">
      <c r="A69" s="93"/>
      <c r="B69" s="90"/>
      <c r="C69" s="63" t="s">
        <v>187</v>
      </c>
      <c r="D69" s="90"/>
      <c r="E69" s="66" t="s">
        <v>206</v>
      </c>
      <c r="F69" s="67"/>
      <c r="G69" s="90"/>
      <c r="H69" s="93"/>
    </row>
    <row r="70" spans="1:8" ht="20.25" customHeight="1">
      <c r="A70" s="93"/>
      <c r="B70" s="90"/>
      <c r="C70" s="68">
        <f>(ALLOWANCE1!$F$24-ALLOWANCE1!$D$24-1+IF(ArrivalTime12&lt;TIME(6,0,0),0,1))</f>
        <v>-1</v>
      </c>
      <c r="D70" s="90"/>
      <c r="E70" s="69">
        <f>(ALLOWANCE2!$F$24-ALLOWANCE2!$D$24-1+IF(ArrivalTime22&lt;TIME(6,0,0),0,1))</f>
        <v>-1</v>
      </c>
      <c r="F70" s="70"/>
      <c r="G70" s="90"/>
      <c r="H70" s="93"/>
    </row>
    <row r="71" spans="1:8">
      <c r="A71" s="93"/>
      <c r="B71" s="90"/>
      <c r="C71" s="136"/>
      <c r="D71" s="90"/>
      <c r="E71" s="138"/>
      <c r="F71" s="139"/>
      <c r="G71" s="90"/>
      <c r="H71" s="93"/>
    </row>
    <row r="72" spans="1:8" ht="12" customHeight="1">
      <c r="A72" s="93"/>
      <c r="B72" s="90"/>
      <c r="C72" s="63" t="s">
        <v>186</v>
      </c>
      <c r="D72" s="90"/>
      <c r="E72" s="66" t="s">
        <v>207</v>
      </c>
      <c r="F72" s="67"/>
      <c r="G72" s="90"/>
      <c r="H72" s="93"/>
    </row>
    <row r="73" spans="1:8" ht="20.25" customHeight="1">
      <c r="A73" s="93"/>
      <c r="B73" s="90"/>
      <c r="C73" s="68">
        <f>(ALLOWANCE1!$F$24-ALLOWANCE1!$D$24-1+IF(DepartureTime12&gt;TIME(0,0,0),IF(DepartureTime12&lt;DepartureTimeThresholdHalf,1,0.5),0.5)+IF(ArrivalTime12&gt;ArrivalTimeThresholdHalf,1,0.5))</f>
        <v>0</v>
      </c>
      <c r="D73" s="90"/>
      <c r="E73" s="69">
        <f>(ALLOWANCE2!$F$24-ALLOWANCE2!$D$24-1+IF(DepartureTime22&gt;TIME(0,0,0),IF(DepartureTime22&lt;DepartureTimeThresholdHalf,1,0.5),0.5)+IF(ArrivalTime22&gt;ArrivalTimeThresholdHalf,1,0.5))</f>
        <v>0</v>
      </c>
      <c r="F73" s="70"/>
      <c r="G73" s="90"/>
      <c r="H73" s="93"/>
    </row>
    <row r="74" spans="1:8">
      <c r="A74" s="93"/>
      <c r="B74" s="90"/>
      <c r="C74" s="136"/>
      <c r="D74" s="90"/>
      <c r="E74" s="138"/>
      <c r="F74" s="139"/>
      <c r="G74" s="90"/>
      <c r="H74" s="93"/>
    </row>
    <row r="75" spans="1:8" ht="12" customHeight="1">
      <c r="A75" s="93"/>
      <c r="B75" s="90"/>
      <c r="C75" s="63" t="s">
        <v>185</v>
      </c>
      <c r="D75" s="90"/>
      <c r="E75" s="66" t="s">
        <v>208</v>
      </c>
      <c r="F75" s="67"/>
      <c r="G75" s="90"/>
      <c r="H75" s="93"/>
    </row>
    <row r="76" spans="1:8" ht="20.25" customHeight="1">
      <c r="A76" s="93"/>
      <c r="B76" s="90"/>
      <c r="C76" s="68">
        <f>TIME(HOUR(ALLOWANCE1!$E$24),MINUTE(ALLOWANCE1!$E$24),SECOND(ALLOWANCE1!$E$24))</f>
        <v>0</v>
      </c>
      <c r="D76" s="90"/>
      <c r="E76" s="69">
        <f>TIME(HOUR(ALLOWANCE2!$E$24),MINUTE(ALLOWANCE2!$E$24),SECOND(ALLOWANCE2!$E$24))</f>
        <v>0</v>
      </c>
      <c r="F76" s="70"/>
      <c r="G76" s="90"/>
      <c r="H76" s="93"/>
    </row>
    <row r="77" spans="1:8">
      <c r="A77" s="93"/>
      <c r="B77" s="90"/>
      <c r="C77" s="136"/>
      <c r="D77" s="90"/>
      <c r="E77" s="138"/>
      <c r="F77" s="139"/>
      <c r="G77" s="90"/>
      <c r="H77" s="93"/>
    </row>
    <row r="78" spans="1:8" ht="12" customHeight="1">
      <c r="A78" s="93"/>
      <c r="B78" s="90"/>
      <c r="C78" s="63" t="s">
        <v>184</v>
      </c>
      <c r="D78" s="90"/>
      <c r="E78" s="66" t="s">
        <v>209</v>
      </c>
      <c r="F78" s="67"/>
      <c r="G78" s="90"/>
      <c r="H78" s="93"/>
    </row>
    <row r="79" spans="1:8" ht="20.25" customHeight="1" thickBot="1">
      <c r="A79" s="93"/>
      <c r="B79" s="90"/>
      <c r="C79" s="71">
        <f>TIME(HOUR(ALLOWANCE1!$G$24),MINUTE(ALLOWANCE1!$G$24),SECOND(ALLOWANCE1!$G$24))</f>
        <v>0</v>
      </c>
      <c r="D79" s="90"/>
      <c r="E79" s="72">
        <f>TIME(HOUR(ALLOWANCE2!$G$24),MINUTE(ALLOWANCE2!$G$24),SECOND(ALLOWANCE2!$G$24))</f>
        <v>0</v>
      </c>
      <c r="F79" s="73"/>
      <c r="G79" s="90"/>
      <c r="H79" s="93"/>
    </row>
    <row r="80" spans="1:8" ht="13" thickBot="1">
      <c r="A80" s="93"/>
      <c r="B80" s="90"/>
      <c r="C80" s="90"/>
      <c r="D80" s="90"/>
      <c r="E80" s="90"/>
      <c r="F80" s="90"/>
      <c r="G80" s="90"/>
      <c r="H80" s="93"/>
    </row>
    <row r="81" spans="1:8" ht="12" customHeight="1">
      <c r="A81" s="93"/>
      <c r="B81" s="90"/>
      <c r="C81" s="62" t="s">
        <v>179</v>
      </c>
      <c r="D81" s="90"/>
      <c r="E81" s="64" t="s">
        <v>210</v>
      </c>
      <c r="F81" s="65"/>
      <c r="G81" s="90"/>
      <c r="H81" s="93"/>
    </row>
    <row r="82" spans="1:8" ht="20.25" customHeight="1">
      <c r="A82" s="93"/>
      <c r="B82" s="90"/>
      <c r="C82" s="68">
        <f>IF(ALLOWANCE1!$D$35="",0,IF(ALLOWANCE1!$F$35="",0,IF(Accomodations13&gt;0,AllowanceDays13,0)))</f>
        <v>0</v>
      </c>
      <c r="D82" s="90"/>
      <c r="E82" s="69">
        <f>IF(ALLOWANCE2!$D$35="",0,IF(ALLOWANCE2!$F$35="",0,IF(Accomodations23&gt;0,AllowanceDays23,0)))</f>
        <v>0</v>
      </c>
      <c r="F82" s="70"/>
      <c r="G82" s="90"/>
      <c r="H82" s="93"/>
    </row>
    <row r="83" spans="1:8">
      <c r="A83" s="93"/>
      <c r="B83" s="90"/>
      <c r="C83" s="136"/>
      <c r="D83" s="90"/>
      <c r="E83" s="138"/>
      <c r="F83" s="139"/>
      <c r="G83" s="90"/>
      <c r="H83" s="93"/>
    </row>
    <row r="84" spans="1:8" ht="12" customHeight="1">
      <c r="A84" s="93"/>
      <c r="B84" s="90"/>
      <c r="C84" s="63" t="s">
        <v>180</v>
      </c>
      <c r="D84" s="90"/>
      <c r="E84" s="66" t="s">
        <v>211</v>
      </c>
      <c r="F84" s="67"/>
      <c r="G84" s="90"/>
      <c r="H84" s="93"/>
    </row>
    <row r="85" spans="1:8" ht="20.25" customHeight="1">
      <c r="A85" s="93"/>
      <c r="B85" s="90"/>
      <c r="C85" s="68">
        <f>(ALLOWANCE1!$F$35-ALLOWANCE1!$D$35-1+IF(ArrivalTime13&lt;TIME(6,0,0),0,1))</f>
        <v>-1</v>
      </c>
      <c r="D85" s="90"/>
      <c r="E85" s="69">
        <f>(ALLOWANCE2!$F$35-ALLOWANCE2!$D$35-1+IF(ArrivalTime23&lt;TIME(6,0,0),0,1))</f>
        <v>-1</v>
      </c>
      <c r="F85" s="70"/>
      <c r="G85" s="90"/>
      <c r="H85" s="93"/>
    </row>
    <row r="86" spans="1:8">
      <c r="A86" s="93"/>
      <c r="B86" s="90"/>
      <c r="C86" s="136"/>
      <c r="D86" s="90"/>
      <c r="E86" s="138"/>
      <c r="F86" s="139"/>
      <c r="G86" s="90"/>
      <c r="H86" s="93"/>
    </row>
    <row r="87" spans="1:8" ht="12" customHeight="1">
      <c r="A87" s="93"/>
      <c r="B87" s="90"/>
      <c r="C87" s="63" t="s">
        <v>181</v>
      </c>
      <c r="D87" s="90"/>
      <c r="E87" s="66" t="s">
        <v>212</v>
      </c>
      <c r="F87" s="67"/>
      <c r="G87" s="90"/>
      <c r="H87" s="93"/>
    </row>
    <row r="88" spans="1:8" ht="20.25" customHeight="1">
      <c r="A88" s="93"/>
      <c r="B88" s="90"/>
      <c r="C88" s="68">
        <f>(ALLOWANCE1!$F$35-ALLOWANCE1!$D$35-1+IF(DepartureTime13&gt;TIME(0,0,0),IF(DepartureTime13&lt;DepartureTimeThresholdHalf,1,0.5),0.5)+IF(ArrivalTime13&gt;ArrivalTimeThresholdHalf,1,0.5))</f>
        <v>0</v>
      </c>
      <c r="D88" s="90"/>
      <c r="E88" s="69">
        <f>(ALLOWANCE2!$F$35-ALLOWANCE2!$D$35-1+IF(DepartureTime23&gt;TIME(0,0,0),IF(DepartureTime23&lt;DepartureTimeThresholdHalf,1,0.5),0.5)+IF(ArrivalTime23&gt;ArrivalTimeThresholdHalf,1,0.5))</f>
        <v>0</v>
      </c>
      <c r="F88" s="70"/>
      <c r="G88" s="90"/>
      <c r="H88" s="93"/>
    </row>
    <row r="89" spans="1:8">
      <c r="A89" s="93"/>
      <c r="B89" s="90"/>
      <c r="C89" s="136"/>
      <c r="D89" s="90"/>
      <c r="E89" s="138"/>
      <c r="F89" s="139"/>
      <c r="G89" s="90"/>
      <c r="H89" s="93"/>
    </row>
    <row r="90" spans="1:8" ht="12" customHeight="1">
      <c r="A90" s="93"/>
      <c r="B90" s="90"/>
      <c r="C90" s="63" t="s">
        <v>182</v>
      </c>
      <c r="D90" s="90"/>
      <c r="E90" s="66" t="s">
        <v>213</v>
      </c>
      <c r="F90" s="67"/>
      <c r="G90" s="90"/>
      <c r="H90" s="93"/>
    </row>
    <row r="91" spans="1:8" ht="20.25" customHeight="1">
      <c r="A91" s="93"/>
      <c r="B91" s="90"/>
      <c r="C91" s="68">
        <f>TIME(HOUR(ALLOWANCE1!$E$35),MINUTE(ALLOWANCE1!$E$35),SECOND(ALLOWANCE1!$E$35))</f>
        <v>0</v>
      </c>
      <c r="D91" s="90"/>
      <c r="E91" s="69">
        <f>TIME(HOUR(ALLOWANCE2!$E$35),MINUTE(ALLOWANCE2!$E$35),SECOND(ALLOWANCE2!$E$35))</f>
        <v>0</v>
      </c>
      <c r="F91" s="70"/>
      <c r="G91" s="90"/>
      <c r="H91" s="93"/>
    </row>
    <row r="92" spans="1:8">
      <c r="A92" s="93"/>
      <c r="B92" s="90"/>
      <c r="C92" s="136"/>
      <c r="D92" s="90"/>
      <c r="E92" s="138"/>
      <c r="F92" s="139"/>
      <c r="G92" s="90"/>
      <c r="H92" s="93"/>
    </row>
    <row r="93" spans="1:8" ht="12" customHeight="1">
      <c r="A93" s="93"/>
      <c r="B93" s="90"/>
      <c r="C93" s="63" t="s">
        <v>183</v>
      </c>
      <c r="D93" s="90"/>
      <c r="E93" s="66" t="s">
        <v>214</v>
      </c>
      <c r="F93" s="67"/>
      <c r="G93" s="90"/>
      <c r="H93" s="93"/>
    </row>
    <row r="94" spans="1:8" ht="20.25" customHeight="1" thickBot="1">
      <c r="A94" s="93"/>
      <c r="B94" s="90"/>
      <c r="C94" s="71">
        <f>TIME(HOUR(ALLOWANCE1!$G$35),MINUTE(ALLOWANCE1!$G$35),SECOND(ALLOWANCE1!$G$35))</f>
        <v>0</v>
      </c>
      <c r="D94" s="90"/>
      <c r="E94" s="72">
        <f>TIME(HOUR(ALLOWANCE2!$G$35),MINUTE(ALLOWANCE2!$G$35),SECOND(ALLOWANCE2!$G$35))</f>
        <v>0</v>
      </c>
      <c r="F94" s="73"/>
      <c r="G94" s="90"/>
      <c r="H94" s="93"/>
    </row>
    <row r="95" spans="1:8" ht="13" thickBot="1">
      <c r="A95" s="93"/>
      <c r="B95" s="90"/>
      <c r="C95" s="90"/>
      <c r="D95" s="90"/>
      <c r="E95" s="90"/>
      <c r="F95" s="90"/>
      <c r="G95" s="90"/>
      <c r="H95" s="93"/>
    </row>
    <row r="96" spans="1:8" ht="12" customHeight="1">
      <c r="A96" s="93"/>
      <c r="B96" s="90"/>
      <c r="C96" s="62" t="s">
        <v>193</v>
      </c>
      <c r="D96" s="90"/>
      <c r="E96" s="64" t="s">
        <v>215</v>
      </c>
      <c r="F96" s="65"/>
      <c r="G96" s="90"/>
      <c r="H96" s="93"/>
    </row>
    <row r="97" spans="1:8" ht="20.25" customHeight="1">
      <c r="A97" s="93"/>
      <c r="B97" s="90"/>
      <c r="C97" s="68">
        <f>IF(ALLOWANCE1!$D$46="",0,IF(ALLOWANCE1!$F$46="",0,IF(Accomodations14&gt;0,AllowanceDays14,0)))</f>
        <v>0</v>
      </c>
      <c r="D97" s="90"/>
      <c r="E97" s="69">
        <f>IF(ALLOWANCE2!$D$46="",0,IF(ALLOWANCE2!$F$46="",0,IF(Accomodations24&gt;0,AllowanceDays24,0)))</f>
        <v>0</v>
      </c>
      <c r="F97" s="70"/>
      <c r="G97" s="90"/>
      <c r="H97" s="93"/>
    </row>
    <row r="98" spans="1:8">
      <c r="A98" s="93"/>
      <c r="B98" s="90"/>
      <c r="C98" s="136"/>
      <c r="D98" s="90"/>
      <c r="E98" s="138"/>
      <c r="F98" s="139"/>
      <c r="G98" s="90"/>
      <c r="H98" s="93"/>
    </row>
    <row r="99" spans="1:8" ht="12" customHeight="1">
      <c r="A99" s="93"/>
      <c r="B99" s="90"/>
      <c r="C99" s="63" t="s">
        <v>194</v>
      </c>
      <c r="D99" s="90"/>
      <c r="E99" s="66" t="s">
        <v>216</v>
      </c>
      <c r="F99" s="67"/>
      <c r="G99" s="90"/>
      <c r="H99" s="93"/>
    </row>
    <row r="100" spans="1:8" ht="20.25" customHeight="1">
      <c r="A100" s="93"/>
      <c r="B100" s="90"/>
      <c r="C100" s="68">
        <f>(ALLOWANCE1!$F$46-ALLOWANCE1!$D$46-1+IF(ArrivalTime14&lt;TIME(6,0,0),0,1))</f>
        <v>-1</v>
      </c>
      <c r="D100" s="90"/>
      <c r="E100" s="69">
        <f>(ALLOWANCE2!$F$46-ALLOWANCE2!$D$46-1+IF(ArrivalTime24&lt;TIME(6,0,0),0,1))</f>
        <v>-1</v>
      </c>
      <c r="F100" s="70"/>
      <c r="G100" s="90"/>
      <c r="H100" s="93"/>
    </row>
    <row r="101" spans="1:8">
      <c r="A101" s="93"/>
      <c r="B101" s="90"/>
      <c r="C101" s="136"/>
      <c r="D101" s="90"/>
      <c r="E101" s="138"/>
      <c r="F101" s="139"/>
      <c r="G101" s="90"/>
      <c r="H101" s="93"/>
    </row>
    <row r="102" spans="1:8" ht="12" customHeight="1">
      <c r="A102" s="93"/>
      <c r="B102" s="90"/>
      <c r="C102" s="63" t="s">
        <v>195</v>
      </c>
      <c r="D102" s="90"/>
      <c r="E102" s="66" t="s">
        <v>217</v>
      </c>
      <c r="F102" s="67"/>
      <c r="G102" s="90"/>
      <c r="H102" s="93"/>
    </row>
    <row r="103" spans="1:8" ht="20.25" customHeight="1">
      <c r="A103" s="93"/>
      <c r="B103" s="90"/>
      <c r="C103" s="68">
        <f>(ALLOWANCE1!$F$46-ALLOWANCE1!$D$46-1+IF(DepartureTime14&gt;TIME(0,0,0),IF(DepartureTime14&lt;DepartureTimeThresholdHalf,1,0.5),0.5)+IF(ArrivalTime14&gt;ArrivalTimeThresholdHalf,1,0.5))</f>
        <v>0</v>
      </c>
      <c r="D103" s="90"/>
      <c r="E103" s="69">
        <f>(ALLOWANCE2!$F$46-ALLOWANCE2!$D$46-1+IF(DepartureTime24&gt;TIME(0,0,0),IF(DepartureTime24&lt;DepartureTimeThresholdHalf,1,0.5),0.5)+IF(ArrivalTime24&gt;ArrivalTimeThresholdHalf,1,0.5))</f>
        <v>0</v>
      </c>
      <c r="F103" s="70"/>
      <c r="G103" s="90"/>
      <c r="H103" s="93"/>
    </row>
    <row r="104" spans="1:8">
      <c r="A104" s="93"/>
      <c r="B104" s="90"/>
      <c r="C104" s="136"/>
      <c r="D104" s="90"/>
      <c r="E104" s="138"/>
      <c r="F104" s="139"/>
      <c r="G104" s="90"/>
      <c r="H104" s="93"/>
    </row>
    <row r="105" spans="1:8" ht="12" customHeight="1">
      <c r="A105" s="93"/>
      <c r="B105" s="90"/>
      <c r="C105" s="63" t="s">
        <v>196</v>
      </c>
      <c r="D105" s="90"/>
      <c r="E105" s="66" t="s">
        <v>218</v>
      </c>
      <c r="F105" s="67"/>
      <c r="G105" s="90"/>
      <c r="H105" s="93"/>
    </row>
    <row r="106" spans="1:8" ht="20.25" customHeight="1">
      <c r="A106" s="93"/>
      <c r="B106" s="90"/>
      <c r="C106" s="68">
        <f>TIME(HOUR(ALLOWANCE1!$E$46),MINUTE(ALLOWANCE1!$E$46),SECOND(ALLOWANCE1!$E$46))</f>
        <v>0</v>
      </c>
      <c r="D106" s="90"/>
      <c r="E106" s="69">
        <f>TIME(HOUR(ALLOWANCE2!$E$46),MINUTE(ALLOWANCE2!$E$46),SECOND(ALLOWANCE2!$E$46))</f>
        <v>0</v>
      </c>
      <c r="F106" s="70"/>
      <c r="G106" s="90"/>
      <c r="H106" s="93"/>
    </row>
    <row r="107" spans="1:8">
      <c r="A107" s="93"/>
      <c r="B107" s="90"/>
      <c r="C107" s="136"/>
      <c r="D107" s="90"/>
      <c r="E107" s="138"/>
      <c r="F107" s="139"/>
      <c r="G107" s="90"/>
      <c r="H107" s="93"/>
    </row>
    <row r="108" spans="1:8" ht="12" customHeight="1">
      <c r="A108" s="93"/>
      <c r="B108" s="90"/>
      <c r="C108" s="63" t="s">
        <v>197</v>
      </c>
      <c r="D108" s="90"/>
      <c r="E108" s="66" t="s">
        <v>219</v>
      </c>
      <c r="F108" s="67"/>
      <c r="G108" s="90"/>
      <c r="H108" s="93"/>
    </row>
    <row r="109" spans="1:8" ht="20.25" customHeight="1" thickBot="1">
      <c r="A109" s="93"/>
      <c r="B109" s="90"/>
      <c r="C109" s="71">
        <f>TIME(HOUR(ALLOWANCE1!$G$46),MINUTE(ALLOWANCE1!$G$46),SECOND(ALLOWANCE1!$G$46))</f>
        <v>0</v>
      </c>
      <c r="D109" s="90"/>
      <c r="E109" s="72">
        <f>TIME(HOUR(ALLOWANCE2!$G$46),MINUTE(ALLOWANCE2!$G$46),SECOND(ALLOWANCE2!$G$46))</f>
        <v>0</v>
      </c>
      <c r="F109" s="73"/>
      <c r="G109" s="90"/>
      <c r="H109" s="93"/>
    </row>
    <row r="110" spans="1:8" ht="13" thickBot="1">
      <c r="A110" s="93"/>
      <c r="B110" s="90"/>
      <c r="C110" s="90"/>
      <c r="D110" s="90"/>
      <c r="E110" s="90"/>
      <c r="F110" s="90"/>
      <c r="G110" s="90"/>
      <c r="H110" s="93"/>
    </row>
    <row r="111" spans="1:8" ht="12" customHeight="1">
      <c r="A111" s="93"/>
      <c r="B111" s="90"/>
      <c r="C111" s="62" t="s">
        <v>198</v>
      </c>
      <c r="D111" s="90"/>
      <c r="E111" s="64" t="s">
        <v>220</v>
      </c>
      <c r="F111" s="65"/>
      <c r="G111" s="90"/>
      <c r="H111" s="93"/>
    </row>
    <row r="112" spans="1:8" ht="20.25" customHeight="1">
      <c r="A112" s="93"/>
      <c r="B112" s="90"/>
      <c r="C112" s="68">
        <f>IF(ALLOWANCE1!$D$57="",0,IF(ALLOWANCE1!$F$57="",0,IF(Accomodations15&gt;0,AllowanceDays15,0)))</f>
        <v>0</v>
      </c>
      <c r="D112" s="90"/>
      <c r="E112" s="69">
        <f>IF(ALLOWANCE2!$D$57="",0,IF(ALLOWANCE2!$F$57="",0,IF(Accomodations25&gt;0,AllowanceDays25,0)))</f>
        <v>0</v>
      </c>
      <c r="F112" s="70"/>
      <c r="G112" s="90"/>
      <c r="H112" s="93"/>
    </row>
    <row r="113" spans="1:8">
      <c r="A113" s="93"/>
      <c r="B113" s="90"/>
      <c r="C113" s="136"/>
      <c r="D113" s="90"/>
      <c r="E113" s="138"/>
      <c r="F113" s="139"/>
      <c r="G113" s="90"/>
      <c r="H113" s="93"/>
    </row>
    <row r="114" spans="1:8" ht="12" customHeight="1">
      <c r="A114" s="93"/>
      <c r="B114" s="90"/>
      <c r="C114" s="63" t="s">
        <v>199</v>
      </c>
      <c r="D114" s="90"/>
      <c r="E114" s="66" t="s">
        <v>221</v>
      </c>
      <c r="F114" s="67"/>
      <c r="G114" s="90"/>
      <c r="H114" s="93"/>
    </row>
    <row r="115" spans="1:8" ht="20.25" customHeight="1">
      <c r="A115" s="93"/>
      <c r="B115" s="90"/>
      <c r="C115" s="68">
        <f>(ALLOWANCE1!$F$57-ALLOWANCE1!$D$57-1+IF(ArrivalTime15&lt;TIME(6,0,0),0,1))</f>
        <v>-1</v>
      </c>
      <c r="D115" s="90"/>
      <c r="E115" s="69">
        <f>(ALLOWANCE2!$F$57-ALLOWANCE2!$D$57-1+IF(ArrivalTime25&lt;TIME(6,0,0),0,1))</f>
        <v>-1</v>
      </c>
      <c r="F115" s="70"/>
      <c r="G115" s="90"/>
      <c r="H115" s="93"/>
    </row>
    <row r="116" spans="1:8">
      <c r="A116" s="93"/>
      <c r="B116" s="90"/>
      <c r="C116" s="136"/>
      <c r="D116" s="90"/>
      <c r="E116" s="138"/>
      <c r="F116" s="139"/>
      <c r="G116" s="90"/>
      <c r="H116" s="93"/>
    </row>
    <row r="117" spans="1:8" ht="12" customHeight="1">
      <c r="A117" s="93"/>
      <c r="B117" s="90"/>
      <c r="C117" s="63" t="s">
        <v>200</v>
      </c>
      <c r="D117" s="90"/>
      <c r="E117" s="66" t="s">
        <v>222</v>
      </c>
      <c r="F117" s="67"/>
      <c r="G117" s="90"/>
      <c r="H117" s="93"/>
    </row>
    <row r="118" spans="1:8" ht="20.25" customHeight="1">
      <c r="A118" s="93"/>
      <c r="B118" s="90"/>
      <c r="C118" s="68">
        <f>(ALLOWANCE1!$F$57-ALLOWANCE1!$D$57-1+IF(DepartureTime15&gt;TIME(0,0,0),IF(DepartureTime15&lt;DepartureTimeThresholdHalf,1,0.5),0.5)+IF(ArrivalTime15&gt;ArrivalTimeThresholdHalf,1,0.5))</f>
        <v>0</v>
      </c>
      <c r="D118" s="90"/>
      <c r="E118" s="69">
        <f>(ALLOWANCE2!$F$57-ALLOWANCE2!$D$57-1+IF(DepartureTime25&gt;TIME(0,0,0),IF(DepartureTime25&lt;DepartureTimeThresholdHalf,1,0.5),0.5)+IF(ArrivalTime25&gt;ArrivalTimeThresholdHalf,1,0.5))</f>
        <v>0</v>
      </c>
      <c r="F118" s="70"/>
      <c r="G118" s="90"/>
      <c r="H118" s="93"/>
    </row>
    <row r="119" spans="1:8">
      <c r="A119" s="93"/>
      <c r="B119" s="90"/>
      <c r="C119" s="136"/>
      <c r="D119" s="90"/>
      <c r="E119" s="138"/>
      <c r="F119" s="139"/>
      <c r="G119" s="90"/>
      <c r="H119" s="93"/>
    </row>
    <row r="120" spans="1:8" ht="12" customHeight="1">
      <c r="A120" s="93"/>
      <c r="B120" s="90"/>
      <c r="C120" s="63" t="s">
        <v>201</v>
      </c>
      <c r="D120" s="90"/>
      <c r="E120" s="66" t="s">
        <v>223</v>
      </c>
      <c r="F120" s="67"/>
      <c r="G120" s="90"/>
      <c r="H120" s="93"/>
    </row>
    <row r="121" spans="1:8" ht="20.25" customHeight="1">
      <c r="A121" s="93"/>
      <c r="B121" s="90"/>
      <c r="C121" s="68">
        <f>TIME(HOUR(ALLOWANCE1!$E$57),MINUTE(ALLOWANCE1!$E$57),SECOND(ALLOWANCE1!$E$57))</f>
        <v>0</v>
      </c>
      <c r="D121" s="90"/>
      <c r="E121" s="69">
        <f>TIME(HOUR(ALLOWANCE2!$E$57),MINUTE(ALLOWANCE2!$E$57),SECOND(ALLOWANCE2!$E$57))</f>
        <v>0</v>
      </c>
      <c r="F121" s="70"/>
      <c r="G121" s="90"/>
      <c r="H121" s="93"/>
    </row>
    <row r="122" spans="1:8">
      <c r="A122" s="93"/>
      <c r="B122" s="90"/>
      <c r="C122" s="136"/>
      <c r="D122" s="90"/>
      <c r="E122" s="138"/>
      <c r="F122" s="139"/>
      <c r="G122" s="90"/>
      <c r="H122" s="93"/>
    </row>
    <row r="123" spans="1:8" ht="12" customHeight="1">
      <c r="A123" s="93"/>
      <c r="B123" s="90"/>
      <c r="C123" s="63" t="s">
        <v>202</v>
      </c>
      <c r="D123" s="90"/>
      <c r="E123" s="66" t="s">
        <v>224</v>
      </c>
      <c r="F123" s="67"/>
      <c r="G123" s="90"/>
      <c r="H123" s="93"/>
    </row>
    <row r="124" spans="1:8" ht="20.25" customHeight="1" thickBot="1">
      <c r="A124" s="93"/>
      <c r="B124" s="90"/>
      <c r="C124" s="71">
        <f>TIME(HOUR(ALLOWANCE1!$G$57),MINUTE(ALLOWANCE1!$G$57),SECOND(ALLOWANCE1!$G$57))</f>
        <v>0</v>
      </c>
      <c r="D124" s="90"/>
      <c r="E124" s="72">
        <f>TIME(HOUR(ALLOWANCE2!$G$57),MINUTE(ALLOWANCE2!$G$57),SECOND(ALLOWANCE2!$G$57))</f>
        <v>0</v>
      </c>
      <c r="F124" s="73"/>
      <c r="G124" s="90"/>
      <c r="H124" s="93"/>
    </row>
    <row r="125" spans="1:8">
      <c r="A125" s="93"/>
      <c r="B125" s="90"/>
      <c r="C125" s="90"/>
      <c r="D125" s="90"/>
      <c r="E125" s="90"/>
      <c r="F125" s="90"/>
      <c r="G125" s="90"/>
      <c r="H125" s="93"/>
    </row>
    <row r="126" spans="1:8" ht="15.5">
      <c r="A126" s="93"/>
      <c r="B126" s="90"/>
      <c r="C126" s="279" t="s">
        <v>297</v>
      </c>
      <c r="D126" s="279"/>
      <c r="E126" s="279"/>
      <c r="F126" s="90"/>
      <c r="G126" s="90"/>
      <c r="H126" s="93"/>
    </row>
    <row r="127" spans="1:8">
      <c r="A127" s="93"/>
      <c r="B127" s="90"/>
      <c r="C127" s="127"/>
      <c r="D127" s="128" t="s">
        <v>18</v>
      </c>
      <c r="E127" s="35">
        <v>0.7</v>
      </c>
      <c r="F127" s="90"/>
      <c r="G127" s="90"/>
      <c r="H127" s="93"/>
    </row>
    <row r="128" spans="1:8">
      <c r="A128" s="93"/>
      <c r="B128" s="90"/>
      <c r="C128" s="129"/>
      <c r="D128" s="128" t="s">
        <v>19</v>
      </c>
      <c r="E128" s="128" t="s">
        <v>97</v>
      </c>
      <c r="F128" s="90"/>
      <c r="G128" s="90"/>
      <c r="H128" s="93"/>
    </row>
    <row r="129" spans="1:8">
      <c r="A129" s="93"/>
      <c r="B129" s="90"/>
      <c r="C129" s="129" t="s">
        <v>17</v>
      </c>
      <c r="D129" s="128" t="s">
        <v>20</v>
      </c>
      <c r="E129" s="130"/>
      <c r="F129" s="90"/>
      <c r="G129" s="90"/>
      <c r="H129" s="93"/>
    </row>
    <row r="130" spans="1:8">
      <c r="A130" s="93"/>
      <c r="B130" s="90"/>
      <c r="C130" s="32" t="s">
        <v>117</v>
      </c>
      <c r="D130" s="131">
        <v>0</v>
      </c>
      <c r="E130" s="131">
        <v>0</v>
      </c>
      <c r="F130" s="90"/>
      <c r="G130" s="90"/>
      <c r="H130" s="93"/>
    </row>
    <row r="131" spans="1:8" ht="12" customHeight="1">
      <c r="A131" s="93"/>
      <c r="B131" s="90"/>
      <c r="C131" s="32" t="s">
        <v>21</v>
      </c>
      <c r="D131" s="33">
        <v>265</v>
      </c>
      <c r="E131" s="161">
        <f t="shared" ref="E131:E166" si="0">ROUND($E$127*D131,0)</f>
        <v>186</v>
      </c>
      <c r="F131" s="143"/>
      <c r="G131" s="90"/>
      <c r="H131" s="93"/>
    </row>
    <row r="132" spans="1:8" ht="12" customHeight="1">
      <c r="A132" s="93"/>
      <c r="B132" s="90"/>
      <c r="C132" s="32" t="s">
        <v>22</v>
      </c>
      <c r="D132" s="33">
        <v>376</v>
      </c>
      <c r="E132" s="161">
        <f t="shared" si="0"/>
        <v>263</v>
      </c>
      <c r="F132" s="90"/>
      <c r="G132" s="90"/>
      <c r="H132" s="93"/>
    </row>
    <row r="133" spans="1:8" ht="12" customHeight="1">
      <c r="A133" s="93"/>
      <c r="B133" s="90"/>
      <c r="C133" s="32" t="s">
        <v>254</v>
      </c>
      <c r="D133" s="33">
        <v>956</v>
      </c>
      <c r="E133" s="161">
        <f t="shared" si="0"/>
        <v>669</v>
      </c>
      <c r="F133" s="90"/>
      <c r="G133" s="90"/>
      <c r="H133" s="93"/>
    </row>
    <row r="134" spans="1:8" ht="12" customHeight="1">
      <c r="A134" s="93"/>
      <c r="B134" s="90"/>
      <c r="C134" s="32" t="s">
        <v>246</v>
      </c>
      <c r="D134" s="33">
        <v>814</v>
      </c>
      <c r="E134" s="161">
        <f t="shared" si="0"/>
        <v>570</v>
      </c>
      <c r="F134" s="90"/>
      <c r="G134" s="90"/>
      <c r="H134" s="93"/>
    </row>
    <row r="135" spans="1:8" ht="12" customHeight="1">
      <c r="A135" s="93"/>
      <c r="B135" s="90"/>
      <c r="C135" s="32" t="s">
        <v>23</v>
      </c>
      <c r="D135" s="33">
        <v>305</v>
      </c>
      <c r="E135" s="161">
        <f t="shared" si="0"/>
        <v>214</v>
      </c>
      <c r="F135" s="90"/>
      <c r="G135" s="90"/>
      <c r="H135" s="93"/>
    </row>
    <row r="136" spans="1:8" ht="12" customHeight="1">
      <c r="A136" s="93"/>
      <c r="B136" s="90"/>
      <c r="C136" s="32" t="s">
        <v>227</v>
      </c>
      <c r="D136" s="33">
        <v>544</v>
      </c>
      <c r="E136" s="161">
        <f t="shared" si="0"/>
        <v>381</v>
      </c>
      <c r="F136" s="90"/>
      <c r="G136" s="90"/>
      <c r="H136" s="93"/>
    </row>
    <row r="137" spans="1:8" ht="12" customHeight="1">
      <c r="A137" s="93"/>
      <c r="B137" s="90"/>
      <c r="C137" s="32" t="s">
        <v>24</v>
      </c>
      <c r="D137" s="33">
        <v>744</v>
      </c>
      <c r="E137" s="161">
        <f t="shared" si="0"/>
        <v>521</v>
      </c>
      <c r="F137" s="90"/>
      <c r="G137" s="90"/>
      <c r="H137" s="93"/>
    </row>
    <row r="138" spans="1:8" ht="12" customHeight="1">
      <c r="A138" s="93"/>
      <c r="B138" s="90"/>
      <c r="C138" s="32" t="s">
        <v>25</v>
      </c>
      <c r="D138" s="33">
        <v>436</v>
      </c>
      <c r="E138" s="161">
        <f t="shared" si="0"/>
        <v>305</v>
      </c>
      <c r="F138" s="90"/>
      <c r="G138" s="90"/>
      <c r="H138" s="93"/>
    </row>
    <row r="139" spans="1:8" ht="12" customHeight="1">
      <c r="A139" s="93"/>
      <c r="B139" s="90"/>
      <c r="C139" s="32" t="s">
        <v>153</v>
      </c>
      <c r="D139" s="33">
        <v>1140</v>
      </c>
      <c r="E139" s="161">
        <f t="shared" si="0"/>
        <v>798</v>
      </c>
      <c r="F139" s="90"/>
      <c r="G139" s="90"/>
      <c r="H139" s="93"/>
    </row>
    <row r="140" spans="1:8" ht="12" customHeight="1">
      <c r="A140" s="93"/>
      <c r="B140" s="90"/>
      <c r="C140" s="32" t="s">
        <v>26</v>
      </c>
      <c r="D140" s="33">
        <v>867</v>
      </c>
      <c r="E140" s="161">
        <f t="shared" si="0"/>
        <v>607</v>
      </c>
      <c r="F140" s="90"/>
      <c r="G140" s="90"/>
      <c r="H140" s="93"/>
    </row>
    <row r="141" spans="1:8" ht="12" customHeight="1">
      <c r="A141" s="93"/>
      <c r="B141" s="90"/>
      <c r="C141" s="32" t="s">
        <v>27</v>
      </c>
      <c r="D141" s="33">
        <v>520</v>
      </c>
      <c r="E141" s="161">
        <f t="shared" si="0"/>
        <v>364</v>
      </c>
      <c r="F141" s="90"/>
      <c r="G141" s="90"/>
      <c r="H141" s="93"/>
    </row>
    <row r="142" spans="1:8" ht="12" customHeight="1">
      <c r="A142" s="93"/>
      <c r="B142" s="90"/>
      <c r="C142" s="32" t="s">
        <v>247</v>
      </c>
      <c r="D142" s="33">
        <v>1095</v>
      </c>
      <c r="E142" s="161">
        <f t="shared" si="0"/>
        <v>767</v>
      </c>
      <c r="F142" s="90"/>
      <c r="G142" s="90"/>
      <c r="H142" s="93"/>
    </row>
    <row r="143" spans="1:8" ht="12" customHeight="1">
      <c r="A143" s="93"/>
      <c r="B143" s="90"/>
      <c r="C143" s="32" t="s">
        <v>310</v>
      </c>
      <c r="D143" s="33">
        <v>317</v>
      </c>
      <c r="E143" s="11">
        <f t="shared" si="0"/>
        <v>222</v>
      </c>
      <c r="F143" s="90"/>
      <c r="G143" s="90"/>
      <c r="H143" s="93"/>
    </row>
    <row r="144" spans="1:8" ht="12" customHeight="1">
      <c r="A144" s="93"/>
      <c r="B144" s="90"/>
      <c r="C144" s="32" t="s">
        <v>28</v>
      </c>
      <c r="D144" s="33">
        <v>794</v>
      </c>
      <c r="E144" s="11">
        <f t="shared" si="0"/>
        <v>556</v>
      </c>
      <c r="F144" s="90"/>
      <c r="G144" s="90"/>
      <c r="H144" s="93"/>
    </row>
    <row r="145" spans="1:8" ht="12" customHeight="1">
      <c r="A145" s="93"/>
      <c r="B145" s="90"/>
      <c r="C145" s="32" t="s">
        <v>263</v>
      </c>
      <c r="D145" s="33">
        <v>658</v>
      </c>
      <c r="E145" s="11">
        <f t="shared" si="0"/>
        <v>461</v>
      </c>
      <c r="F145" s="90"/>
      <c r="G145" s="90"/>
      <c r="H145" s="93"/>
    </row>
    <row r="146" spans="1:8" ht="12" customHeight="1">
      <c r="A146" s="93"/>
      <c r="B146" s="90"/>
      <c r="C146" s="32" t="s">
        <v>231</v>
      </c>
      <c r="D146" s="33">
        <v>531</v>
      </c>
      <c r="E146" s="11">
        <f t="shared" si="0"/>
        <v>372</v>
      </c>
      <c r="F146" s="90"/>
      <c r="G146" s="90"/>
      <c r="H146" s="93"/>
    </row>
    <row r="147" spans="1:8" ht="12" customHeight="1">
      <c r="A147" s="93"/>
      <c r="B147" s="90"/>
      <c r="C147" s="32" t="s">
        <v>29</v>
      </c>
      <c r="D147" s="33">
        <v>438</v>
      </c>
      <c r="E147" s="11">
        <f t="shared" si="0"/>
        <v>307</v>
      </c>
      <c r="F147" s="90"/>
      <c r="G147" s="90"/>
      <c r="H147" s="93"/>
    </row>
    <row r="148" spans="1:8" ht="12" customHeight="1">
      <c r="A148" s="93"/>
      <c r="B148" s="90"/>
      <c r="C148" s="32" t="s">
        <v>30</v>
      </c>
      <c r="D148" s="33">
        <v>345</v>
      </c>
      <c r="E148" s="11">
        <f t="shared" si="0"/>
        <v>242</v>
      </c>
      <c r="F148" s="90"/>
      <c r="G148" s="90"/>
      <c r="H148" s="93"/>
    </row>
    <row r="149" spans="1:8" ht="12" customHeight="1">
      <c r="A149" s="93"/>
      <c r="B149" s="90"/>
      <c r="C149" s="32" t="s">
        <v>31</v>
      </c>
      <c r="D149" s="33">
        <v>379</v>
      </c>
      <c r="E149" s="11">
        <f t="shared" si="0"/>
        <v>265</v>
      </c>
      <c r="F149" s="90"/>
      <c r="G149" s="90"/>
      <c r="H149" s="93"/>
    </row>
    <row r="150" spans="1:8" ht="12" customHeight="1">
      <c r="A150" s="93"/>
      <c r="B150" s="90"/>
      <c r="C150" s="32" t="s">
        <v>32</v>
      </c>
      <c r="D150" s="33">
        <v>430</v>
      </c>
      <c r="E150" s="11">
        <f t="shared" si="0"/>
        <v>301</v>
      </c>
      <c r="F150" s="90"/>
      <c r="G150" s="90"/>
      <c r="H150" s="93"/>
    </row>
    <row r="151" spans="1:8" ht="12" customHeight="1">
      <c r="A151" s="93"/>
      <c r="B151" s="90"/>
      <c r="C151" s="32" t="s">
        <v>33</v>
      </c>
      <c r="D151" s="33">
        <v>524</v>
      </c>
      <c r="E151" s="11">
        <f t="shared" si="0"/>
        <v>367</v>
      </c>
      <c r="F151" s="90"/>
      <c r="G151" s="90"/>
      <c r="H151" s="93"/>
    </row>
    <row r="152" spans="1:8" ht="12" customHeight="1">
      <c r="A152" s="93"/>
      <c r="B152" s="90"/>
      <c r="C152" s="32" t="s">
        <v>34</v>
      </c>
      <c r="D152" s="33">
        <v>389</v>
      </c>
      <c r="E152" s="11">
        <f t="shared" si="0"/>
        <v>272</v>
      </c>
      <c r="F152" s="90"/>
      <c r="G152" s="90"/>
      <c r="H152" s="93"/>
    </row>
    <row r="153" spans="1:8" ht="12" customHeight="1">
      <c r="A153" s="93"/>
      <c r="B153" s="90"/>
      <c r="C153" s="32" t="s">
        <v>232</v>
      </c>
      <c r="D153" s="33">
        <v>433</v>
      </c>
      <c r="E153" s="11">
        <f t="shared" si="0"/>
        <v>303</v>
      </c>
      <c r="F153" s="90"/>
      <c r="G153" s="90"/>
      <c r="H153" s="93"/>
    </row>
    <row r="154" spans="1:8" ht="12" customHeight="1">
      <c r="A154" s="93"/>
      <c r="B154" s="90"/>
      <c r="C154" s="32" t="s">
        <v>264</v>
      </c>
      <c r="D154" s="33">
        <v>260</v>
      </c>
      <c r="E154" s="11">
        <f t="shared" ref="E154" si="1">ROUND($E$127*D154,0)</f>
        <v>182</v>
      </c>
      <c r="F154" s="90"/>
      <c r="G154" s="90"/>
      <c r="H154" s="93"/>
    </row>
    <row r="155" spans="1:8" ht="12" customHeight="1">
      <c r="A155" s="93"/>
      <c r="B155" s="90"/>
      <c r="C155" s="32" t="s">
        <v>265</v>
      </c>
      <c r="D155" s="33">
        <v>461</v>
      </c>
      <c r="E155" s="11">
        <f t="shared" si="0"/>
        <v>323</v>
      </c>
      <c r="F155" s="90"/>
      <c r="G155" s="90"/>
      <c r="H155" s="93"/>
    </row>
    <row r="156" spans="1:8" ht="12" customHeight="1">
      <c r="A156" s="93"/>
      <c r="B156" s="90"/>
      <c r="C156" s="32" t="s">
        <v>35</v>
      </c>
      <c r="D156" s="33">
        <v>487</v>
      </c>
      <c r="E156" s="11">
        <f t="shared" si="0"/>
        <v>341</v>
      </c>
      <c r="F156" s="90"/>
      <c r="G156" s="90"/>
      <c r="H156" s="93"/>
    </row>
    <row r="157" spans="1:8" ht="12" customHeight="1">
      <c r="A157" s="93"/>
      <c r="B157" s="90"/>
      <c r="C157" s="32" t="s">
        <v>36</v>
      </c>
      <c r="D157" s="33">
        <v>260</v>
      </c>
      <c r="E157" s="11">
        <f t="shared" si="0"/>
        <v>182</v>
      </c>
      <c r="F157" s="90"/>
      <c r="G157" s="90"/>
      <c r="H157" s="93"/>
    </row>
    <row r="158" spans="1:8" ht="12" customHeight="1">
      <c r="A158" s="93"/>
      <c r="B158" s="90"/>
      <c r="C158" s="32" t="s">
        <v>37</v>
      </c>
      <c r="D158" s="33">
        <v>610</v>
      </c>
      <c r="E158" s="11">
        <f t="shared" si="0"/>
        <v>427</v>
      </c>
      <c r="F158" s="90"/>
      <c r="G158" s="90"/>
      <c r="H158" s="93"/>
    </row>
    <row r="159" spans="1:8" ht="12" customHeight="1">
      <c r="A159" s="93"/>
      <c r="B159" s="90"/>
      <c r="C159" s="32" t="s">
        <v>38</v>
      </c>
      <c r="D159" s="33">
        <v>613</v>
      </c>
      <c r="E159" s="11">
        <f t="shared" si="0"/>
        <v>429</v>
      </c>
      <c r="F159" s="90"/>
      <c r="G159" s="90"/>
      <c r="H159" s="93"/>
    </row>
    <row r="160" spans="1:8" ht="12" customHeight="1">
      <c r="A160" s="93"/>
      <c r="B160" s="90"/>
      <c r="C160" s="32" t="s">
        <v>311</v>
      </c>
      <c r="D160" s="33">
        <v>1051</v>
      </c>
      <c r="E160" s="11">
        <f t="shared" si="0"/>
        <v>736</v>
      </c>
      <c r="F160" s="90"/>
      <c r="G160" s="90"/>
      <c r="H160" s="93"/>
    </row>
    <row r="161" spans="1:8" ht="12" customHeight="1">
      <c r="A161" s="93"/>
      <c r="B161" s="90"/>
      <c r="C161" s="32" t="s">
        <v>233</v>
      </c>
      <c r="D161" s="33">
        <v>677</v>
      </c>
      <c r="E161" s="11">
        <f t="shared" si="0"/>
        <v>474</v>
      </c>
      <c r="F161" s="90"/>
      <c r="G161" s="90"/>
      <c r="H161" s="93"/>
    </row>
    <row r="162" spans="1:8" ht="12" customHeight="1">
      <c r="A162" s="93"/>
      <c r="B162" s="90"/>
      <c r="C162" s="32" t="s">
        <v>39</v>
      </c>
      <c r="D162" s="33">
        <v>689</v>
      </c>
      <c r="E162" s="11">
        <f t="shared" si="0"/>
        <v>482</v>
      </c>
      <c r="F162" s="90"/>
      <c r="G162" s="90"/>
      <c r="H162" s="93"/>
    </row>
    <row r="163" spans="1:8" ht="12" customHeight="1">
      <c r="A163" s="93"/>
      <c r="B163" s="90"/>
      <c r="C163" s="32" t="s">
        <v>40</v>
      </c>
      <c r="D163" s="33">
        <v>275</v>
      </c>
      <c r="E163" s="11">
        <f t="shared" si="0"/>
        <v>193</v>
      </c>
      <c r="F163" s="90"/>
      <c r="G163" s="90"/>
      <c r="H163" s="93"/>
    </row>
    <row r="164" spans="1:8" ht="12" customHeight="1">
      <c r="A164" s="93"/>
      <c r="B164" s="90"/>
      <c r="C164" s="32" t="s">
        <v>234</v>
      </c>
      <c r="D164" s="33">
        <v>693</v>
      </c>
      <c r="E164" s="11">
        <f t="shared" si="0"/>
        <v>485</v>
      </c>
      <c r="F164" s="90"/>
      <c r="G164" s="90"/>
      <c r="H164" s="93"/>
    </row>
    <row r="165" spans="1:8" ht="12" customHeight="1">
      <c r="A165" s="93"/>
      <c r="B165" s="90"/>
      <c r="C165" s="32" t="s">
        <v>41</v>
      </c>
      <c r="D165" s="33">
        <v>565</v>
      </c>
      <c r="E165" s="11">
        <f t="shared" si="0"/>
        <v>396</v>
      </c>
      <c r="F165" s="90"/>
      <c r="G165" s="90"/>
      <c r="H165" s="93"/>
    </row>
    <row r="166" spans="1:8" ht="12" customHeight="1">
      <c r="A166" s="93"/>
      <c r="B166" s="90"/>
      <c r="C166" s="32" t="s">
        <v>250</v>
      </c>
      <c r="D166" s="33">
        <v>480</v>
      </c>
      <c r="E166" s="11">
        <f t="shared" si="0"/>
        <v>336</v>
      </c>
      <c r="F166" s="90"/>
      <c r="G166" s="90"/>
      <c r="H166" s="93"/>
    </row>
    <row r="167" spans="1:8" ht="12" customHeight="1">
      <c r="A167" s="93"/>
      <c r="B167" s="90"/>
      <c r="C167" s="32" t="s">
        <v>42</v>
      </c>
      <c r="D167" s="33">
        <v>526</v>
      </c>
      <c r="E167" s="11">
        <f t="shared" ref="E167:E200" si="2">ROUND($E$127*D167,0)</f>
        <v>368</v>
      </c>
      <c r="F167" s="90"/>
      <c r="G167" s="90"/>
      <c r="H167" s="93"/>
    </row>
    <row r="168" spans="1:8" ht="12" customHeight="1">
      <c r="A168" s="93"/>
      <c r="B168" s="90"/>
      <c r="C168" s="32" t="s">
        <v>318</v>
      </c>
      <c r="D168" s="33">
        <v>260</v>
      </c>
      <c r="E168" s="11">
        <f t="shared" ref="E168" si="3">ROUND($E$127*D168,0)</f>
        <v>182</v>
      </c>
      <c r="F168" s="90"/>
      <c r="G168" s="90"/>
      <c r="H168" s="93"/>
    </row>
    <row r="169" spans="1:8" ht="12" customHeight="1">
      <c r="A169" s="93"/>
      <c r="B169" s="90"/>
      <c r="C169" s="32" t="s">
        <v>235</v>
      </c>
      <c r="D169" s="33">
        <v>269</v>
      </c>
      <c r="E169" s="11">
        <f t="shared" si="2"/>
        <v>188</v>
      </c>
      <c r="F169" s="90"/>
      <c r="G169" s="90"/>
      <c r="H169" s="93"/>
    </row>
    <row r="170" spans="1:8" ht="12" customHeight="1">
      <c r="A170" s="93"/>
      <c r="B170" s="90"/>
      <c r="C170" s="32" t="s">
        <v>43</v>
      </c>
      <c r="D170" s="33">
        <v>468</v>
      </c>
      <c r="E170" s="11">
        <f t="shared" si="2"/>
        <v>328</v>
      </c>
      <c r="F170" s="90"/>
      <c r="G170" s="90"/>
      <c r="H170" s="93"/>
    </row>
    <row r="171" spans="1:8" ht="12" customHeight="1">
      <c r="A171" s="93"/>
      <c r="B171" s="90"/>
      <c r="C171" s="32" t="s">
        <v>0</v>
      </c>
      <c r="D171" s="33">
        <v>786</v>
      </c>
      <c r="E171" s="11">
        <f t="shared" si="2"/>
        <v>550</v>
      </c>
      <c r="F171" s="90"/>
      <c r="G171" s="90"/>
      <c r="H171" s="93"/>
    </row>
    <row r="172" spans="1:8" ht="12" customHeight="1">
      <c r="A172" s="93"/>
      <c r="B172" s="90"/>
      <c r="C172" s="32" t="s">
        <v>1</v>
      </c>
      <c r="D172" s="33">
        <v>852</v>
      </c>
      <c r="E172" s="11">
        <f t="shared" si="2"/>
        <v>596</v>
      </c>
      <c r="F172" s="90"/>
      <c r="G172" s="90"/>
      <c r="H172" s="93"/>
    </row>
    <row r="173" spans="1:8" ht="12" customHeight="1">
      <c r="A173" s="93"/>
      <c r="B173" s="90"/>
      <c r="C173" s="32" t="s">
        <v>149</v>
      </c>
      <c r="D173" s="33">
        <v>1057</v>
      </c>
      <c r="E173" s="11">
        <f t="shared" si="2"/>
        <v>740</v>
      </c>
      <c r="F173" s="90"/>
      <c r="G173" s="90"/>
      <c r="H173" s="93"/>
    </row>
    <row r="174" spans="1:8" ht="12" customHeight="1">
      <c r="A174" s="93"/>
      <c r="B174" s="90"/>
      <c r="C174" s="32" t="s">
        <v>255</v>
      </c>
      <c r="D174" s="33">
        <v>680</v>
      </c>
      <c r="E174" s="11">
        <f t="shared" si="2"/>
        <v>476</v>
      </c>
      <c r="F174" s="90"/>
      <c r="G174" s="90"/>
      <c r="H174" s="93"/>
    </row>
    <row r="175" spans="1:8" ht="12" customHeight="1">
      <c r="A175" s="93"/>
      <c r="B175" s="90"/>
      <c r="C175" s="32" t="s">
        <v>108</v>
      </c>
      <c r="D175" s="33">
        <v>321</v>
      </c>
      <c r="E175" s="11">
        <f t="shared" si="2"/>
        <v>225</v>
      </c>
      <c r="F175" s="90"/>
      <c r="G175" s="90"/>
      <c r="H175" s="93"/>
    </row>
    <row r="176" spans="1:8" ht="12" customHeight="1">
      <c r="A176" s="93"/>
      <c r="B176" s="90"/>
      <c r="C176" s="32" t="s">
        <v>44</v>
      </c>
      <c r="D176" s="33">
        <v>315</v>
      </c>
      <c r="E176" s="11">
        <f t="shared" si="2"/>
        <v>221</v>
      </c>
      <c r="F176" s="90"/>
      <c r="G176" s="90"/>
      <c r="H176" s="93"/>
    </row>
    <row r="177" spans="1:8" ht="12" customHeight="1">
      <c r="A177" s="93"/>
      <c r="B177" s="90"/>
      <c r="C177" s="32" t="s">
        <v>228</v>
      </c>
      <c r="D177" s="33">
        <v>260</v>
      </c>
      <c r="E177" s="11">
        <f t="shared" si="2"/>
        <v>182</v>
      </c>
      <c r="F177" s="90"/>
      <c r="G177" s="90"/>
      <c r="H177" s="93"/>
    </row>
    <row r="178" spans="1:8" ht="12" customHeight="1">
      <c r="A178" s="93"/>
      <c r="B178" s="90"/>
      <c r="C178" s="32" t="s">
        <v>2</v>
      </c>
      <c r="D178" s="33">
        <v>639</v>
      </c>
      <c r="E178" s="11">
        <f t="shared" si="2"/>
        <v>447</v>
      </c>
      <c r="F178" s="90"/>
      <c r="G178" s="90"/>
      <c r="H178" s="93"/>
    </row>
    <row r="179" spans="1:8" ht="12" customHeight="1">
      <c r="A179" s="93"/>
      <c r="B179" s="90"/>
      <c r="C179" s="32" t="s">
        <v>154</v>
      </c>
      <c r="D179" s="33">
        <v>698</v>
      </c>
      <c r="E179" s="11">
        <f t="shared" si="2"/>
        <v>489</v>
      </c>
      <c r="F179" s="90"/>
      <c r="G179" s="90"/>
      <c r="H179" s="93"/>
    </row>
    <row r="180" spans="1:8" ht="12" customHeight="1">
      <c r="A180" s="93"/>
      <c r="B180" s="90"/>
      <c r="C180" s="32" t="s">
        <v>312</v>
      </c>
      <c r="D180" s="33">
        <v>1051</v>
      </c>
      <c r="E180" s="11">
        <f t="shared" si="2"/>
        <v>736</v>
      </c>
      <c r="F180" s="90"/>
      <c r="G180" s="90"/>
      <c r="H180" s="93"/>
    </row>
    <row r="181" spans="1:8" ht="12" customHeight="1">
      <c r="A181" s="93"/>
      <c r="B181" s="90"/>
      <c r="C181" s="32" t="s">
        <v>248</v>
      </c>
      <c r="D181" s="33">
        <v>694</v>
      </c>
      <c r="E181" s="11">
        <f t="shared" si="2"/>
        <v>486</v>
      </c>
      <c r="F181" s="90"/>
      <c r="G181" s="90"/>
      <c r="H181" s="93"/>
    </row>
    <row r="182" spans="1:8" ht="12" customHeight="1">
      <c r="A182" s="93"/>
      <c r="B182" s="90"/>
      <c r="C182" s="32" t="s">
        <v>45</v>
      </c>
      <c r="D182" s="33">
        <v>660</v>
      </c>
      <c r="E182" s="11">
        <f t="shared" si="2"/>
        <v>462</v>
      </c>
      <c r="F182" s="90"/>
      <c r="G182" s="90"/>
      <c r="H182" s="93"/>
    </row>
    <row r="183" spans="1:8" ht="12" customHeight="1">
      <c r="A183" s="93"/>
      <c r="B183" s="90"/>
      <c r="C183" s="32" t="s">
        <v>229</v>
      </c>
      <c r="D183" s="33">
        <v>700</v>
      </c>
      <c r="E183" s="11">
        <f t="shared" si="2"/>
        <v>490</v>
      </c>
      <c r="F183" s="90"/>
      <c r="G183" s="90"/>
      <c r="H183" s="93"/>
    </row>
    <row r="184" spans="1:8" ht="12" customHeight="1">
      <c r="A184" s="93"/>
      <c r="B184" s="90"/>
      <c r="C184" s="32" t="s">
        <v>46</v>
      </c>
      <c r="D184" s="33">
        <v>490</v>
      </c>
      <c r="E184" s="11">
        <f t="shared" si="2"/>
        <v>343</v>
      </c>
      <c r="F184" s="90"/>
      <c r="G184" s="90"/>
      <c r="H184" s="93"/>
    </row>
    <row r="185" spans="1:8" ht="12" customHeight="1">
      <c r="A185" s="93"/>
      <c r="B185" s="90"/>
      <c r="C185" s="32" t="s">
        <v>313</v>
      </c>
      <c r="D185" s="33">
        <v>688</v>
      </c>
      <c r="E185" s="11">
        <f t="shared" si="2"/>
        <v>482</v>
      </c>
      <c r="F185" s="90"/>
      <c r="G185" s="90"/>
      <c r="H185" s="93"/>
    </row>
    <row r="186" spans="1:8" ht="12" customHeight="1">
      <c r="A186" s="93"/>
      <c r="B186" s="90"/>
      <c r="C186" s="32" t="s">
        <v>47</v>
      </c>
      <c r="D186" s="33">
        <v>359</v>
      </c>
      <c r="E186" s="11">
        <f t="shared" si="2"/>
        <v>251</v>
      </c>
      <c r="F186" s="90"/>
      <c r="G186" s="90"/>
      <c r="H186" s="93"/>
    </row>
    <row r="187" spans="1:8" ht="12" customHeight="1">
      <c r="A187" s="93"/>
      <c r="B187" s="90"/>
      <c r="C187" s="32" t="s">
        <v>48</v>
      </c>
      <c r="D187" s="33">
        <v>483</v>
      </c>
      <c r="E187" s="11">
        <f t="shared" si="2"/>
        <v>338</v>
      </c>
      <c r="F187" s="90"/>
      <c r="G187" s="90"/>
      <c r="H187" s="93"/>
    </row>
    <row r="188" spans="1:8" ht="12" customHeight="1">
      <c r="A188" s="93"/>
      <c r="B188" s="90"/>
      <c r="C188" s="32" t="s">
        <v>162</v>
      </c>
      <c r="D188" s="33">
        <v>659</v>
      </c>
      <c r="E188" s="11">
        <f t="shared" si="2"/>
        <v>461</v>
      </c>
      <c r="F188" s="90"/>
      <c r="G188" s="90"/>
      <c r="H188" s="93"/>
    </row>
    <row r="189" spans="1:8" ht="12" customHeight="1">
      <c r="A189" s="93"/>
      <c r="B189" s="90"/>
      <c r="C189" s="32" t="s">
        <v>49</v>
      </c>
      <c r="D189" s="33">
        <v>1880</v>
      </c>
      <c r="E189" s="11">
        <f t="shared" si="2"/>
        <v>1316</v>
      </c>
      <c r="F189" s="90"/>
      <c r="G189" s="90"/>
      <c r="H189" s="93"/>
    </row>
    <row r="190" spans="1:8" ht="12" customHeight="1">
      <c r="A190" s="93"/>
      <c r="B190" s="90"/>
      <c r="C190" s="32" t="s">
        <v>3</v>
      </c>
      <c r="D190" s="33">
        <v>827</v>
      </c>
      <c r="E190" s="11">
        <f t="shared" si="2"/>
        <v>579</v>
      </c>
      <c r="F190" s="90"/>
      <c r="G190" s="90"/>
      <c r="H190" s="93"/>
    </row>
    <row r="191" spans="1:8" ht="12" customHeight="1">
      <c r="A191" s="93"/>
      <c r="B191" s="90"/>
      <c r="C191" s="32" t="s">
        <v>4</v>
      </c>
      <c r="D191" s="33">
        <v>889</v>
      </c>
      <c r="E191" s="11">
        <f t="shared" si="2"/>
        <v>622</v>
      </c>
      <c r="F191" s="90"/>
      <c r="G191" s="90"/>
      <c r="H191" s="93"/>
    </row>
    <row r="192" spans="1:8" ht="12" customHeight="1">
      <c r="A192" s="93"/>
      <c r="B192" s="90"/>
      <c r="C192" s="32" t="s">
        <v>50</v>
      </c>
      <c r="D192" s="33">
        <v>1060</v>
      </c>
      <c r="E192" s="11">
        <f t="shared" si="2"/>
        <v>742</v>
      </c>
      <c r="F192" s="90"/>
      <c r="G192" s="90"/>
      <c r="H192" s="93"/>
    </row>
    <row r="193" spans="1:8" ht="12" customHeight="1">
      <c r="A193" s="93"/>
      <c r="B193" s="90"/>
      <c r="C193" s="32" t="s">
        <v>303</v>
      </c>
      <c r="D193" s="33">
        <v>701</v>
      </c>
      <c r="E193" s="11">
        <f t="shared" si="2"/>
        <v>491</v>
      </c>
      <c r="F193" s="90"/>
      <c r="G193" s="90"/>
      <c r="H193" s="93"/>
    </row>
    <row r="194" spans="1:8" ht="12" customHeight="1">
      <c r="A194" s="93"/>
      <c r="B194" s="90"/>
      <c r="C194" s="32" t="s">
        <v>51</v>
      </c>
      <c r="D194" s="33">
        <v>529</v>
      </c>
      <c r="E194" s="11">
        <f t="shared" si="2"/>
        <v>370</v>
      </c>
      <c r="F194" s="90"/>
      <c r="G194" s="90"/>
      <c r="H194" s="93"/>
    </row>
    <row r="195" spans="1:8" ht="12" customHeight="1">
      <c r="A195" s="93"/>
      <c r="B195" s="90"/>
      <c r="C195" s="32" t="s">
        <v>52</v>
      </c>
      <c r="D195" s="33">
        <v>480</v>
      </c>
      <c r="E195" s="11">
        <f t="shared" si="2"/>
        <v>336</v>
      </c>
      <c r="F195" s="90"/>
      <c r="G195" s="90"/>
      <c r="H195" s="93"/>
    </row>
    <row r="196" spans="1:8" ht="12" customHeight="1">
      <c r="A196" s="93"/>
      <c r="B196" s="90"/>
      <c r="C196" s="32" t="s">
        <v>53</v>
      </c>
      <c r="D196" s="33">
        <v>914</v>
      </c>
      <c r="E196" s="11">
        <f t="shared" si="2"/>
        <v>640</v>
      </c>
      <c r="F196" s="90"/>
      <c r="G196" s="90"/>
      <c r="H196" s="93"/>
    </row>
    <row r="197" spans="1:8" ht="12" customHeight="1">
      <c r="A197" s="93"/>
      <c r="B197" s="90"/>
      <c r="C197" s="32" t="s">
        <v>236</v>
      </c>
      <c r="D197" s="33">
        <v>573</v>
      </c>
      <c r="E197" s="11">
        <f t="shared" si="2"/>
        <v>401</v>
      </c>
      <c r="F197" s="90"/>
      <c r="G197" s="90"/>
      <c r="H197" s="93"/>
    </row>
    <row r="198" spans="1:8" ht="12" customHeight="1">
      <c r="A198" s="93"/>
      <c r="B198" s="90"/>
      <c r="C198" s="32" t="s">
        <v>256</v>
      </c>
      <c r="D198" s="33">
        <v>517</v>
      </c>
      <c r="E198" s="11">
        <f t="shared" si="2"/>
        <v>362</v>
      </c>
      <c r="F198" s="90"/>
      <c r="G198" s="90"/>
      <c r="H198" s="93"/>
    </row>
    <row r="199" spans="1:8" ht="12" customHeight="1">
      <c r="A199" s="93"/>
      <c r="B199" s="90"/>
      <c r="C199" s="32" t="s">
        <v>54</v>
      </c>
      <c r="D199" s="33">
        <v>844</v>
      </c>
      <c r="E199" s="11">
        <f t="shared" si="2"/>
        <v>591</v>
      </c>
      <c r="F199" s="90"/>
      <c r="G199" s="90"/>
      <c r="H199" s="93"/>
    </row>
    <row r="200" spans="1:8" ht="12" customHeight="1">
      <c r="A200" s="93"/>
      <c r="B200" s="90"/>
      <c r="C200" s="32" t="s">
        <v>251</v>
      </c>
      <c r="D200" s="33">
        <v>261</v>
      </c>
      <c r="E200" s="11">
        <f t="shared" si="2"/>
        <v>183</v>
      </c>
      <c r="F200" s="90"/>
      <c r="G200" s="90"/>
      <c r="H200" s="93"/>
    </row>
    <row r="201" spans="1:8" ht="12" customHeight="1">
      <c r="A201" s="93"/>
      <c r="B201" s="90"/>
      <c r="C201" s="32" t="s">
        <v>55</v>
      </c>
      <c r="D201" s="33">
        <v>502</v>
      </c>
      <c r="E201" s="11">
        <f t="shared" ref="E201:E241" si="4">ROUND($E$127*D201,0)</f>
        <v>351</v>
      </c>
      <c r="F201" s="90"/>
      <c r="G201" s="90"/>
      <c r="H201" s="93"/>
    </row>
    <row r="202" spans="1:8" ht="12" customHeight="1">
      <c r="A202" s="93"/>
      <c r="B202" s="90"/>
      <c r="C202" s="32" t="s">
        <v>314</v>
      </c>
      <c r="D202" s="33">
        <v>688</v>
      </c>
      <c r="E202" s="11">
        <f t="shared" si="4"/>
        <v>482</v>
      </c>
      <c r="F202" s="90"/>
      <c r="G202" s="90"/>
      <c r="H202" s="93"/>
    </row>
    <row r="203" spans="1:8" ht="12" customHeight="1">
      <c r="A203" s="93"/>
      <c r="B203" s="90"/>
      <c r="C203" s="32" t="s">
        <v>155</v>
      </c>
      <c r="D203" s="33">
        <v>260</v>
      </c>
      <c r="E203" s="11">
        <f t="shared" si="4"/>
        <v>182</v>
      </c>
      <c r="F203" s="90"/>
      <c r="G203" s="90"/>
      <c r="H203" s="93"/>
    </row>
    <row r="204" spans="1:8" ht="12" customHeight="1">
      <c r="A204" s="93"/>
      <c r="B204" s="90"/>
      <c r="C204" s="32" t="s">
        <v>304</v>
      </c>
      <c r="D204" s="33">
        <v>576</v>
      </c>
      <c r="E204" s="11">
        <f t="shared" si="4"/>
        <v>403</v>
      </c>
      <c r="F204" s="90"/>
      <c r="G204" s="90"/>
      <c r="H204" s="93"/>
    </row>
    <row r="205" spans="1:8" ht="12" customHeight="1">
      <c r="A205" s="93"/>
      <c r="B205" s="90"/>
      <c r="C205" s="32" t="s">
        <v>305</v>
      </c>
      <c r="D205" s="33">
        <v>808</v>
      </c>
      <c r="E205" s="11">
        <f t="shared" si="4"/>
        <v>566</v>
      </c>
      <c r="F205" s="90"/>
      <c r="G205" s="90"/>
      <c r="H205" s="93"/>
    </row>
    <row r="206" spans="1:8" ht="12" customHeight="1">
      <c r="A206" s="93"/>
      <c r="B206" s="90"/>
      <c r="C206" s="32" t="s">
        <v>240</v>
      </c>
      <c r="D206" s="33">
        <v>274</v>
      </c>
      <c r="E206" s="11">
        <f t="shared" si="4"/>
        <v>192</v>
      </c>
      <c r="F206" s="90"/>
      <c r="G206" s="90"/>
      <c r="H206" s="93"/>
    </row>
    <row r="207" spans="1:8" ht="12" customHeight="1">
      <c r="A207" s="93"/>
      <c r="B207" s="90"/>
      <c r="C207" s="32" t="s">
        <v>56</v>
      </c>
      <c r="D207" s="33">
        <v>472</v>
      </c>
      <c r="E207" s="11">
        <f t="shared" si="4"/>
        <v>330</v>
      </c>
      <c r="F207" s="90"/>
      <c r="G207" s="90"/>
      <c r="H207" s="93"/>
    </row>
    <row r="208" spans="1:8" ht="12" customHeight="1">
      <c r="A208" s="93"/>
      <c r="B208" s="90"/>
      <c r="C208" s="32" t="s">
        <v>57</v>
      </c>
      <c r="D208" s="33">
        <v>613</v>
      </c>
      <c r="E208" s="11">
        <f t="shared" si="4"/>
        <v>429</v>
      </c>
      <c r="F208" s="90"/>
      <c r="G208" s="90"/>
      <c r="H208" s="93"/>
    </row>
    <row r="209" spans="1:8" ht="12" customHeight="1">
      <c r="A209" s="93"/>
      <c r="B209" s="90"/>
      <c r="C209" s="32" t="s">
        <v>58</v>
      </c>
      <c r="D209" s="33">
        <v>899</v>
      </c>
      <c r="E209" s="11">
        <f t="shared" si="4"/>
        <v>629</v>
      </c>
      <c r="F209" s="90"/>
      <c r="G209" s="90"/>
      <c r="H209" s="93"/>
    </row>
    <row r="210" spans="1:8" ht="12" customHeight="1">
      <c r="A210" s="93"/>
      <c r="B210" s="90"/>
      <c r="C210" s="32" t="s">
        <v>59</v>
      </c>
      <c r="D210" s="33">
        <v>260</v>
      </c>
      <c r="E210" s="11">
        <f t="shared" si="4"/>
        <v>182</v>
      </c>
      <c r="F210" s="90"/>
      <c r="G210" s="90"/>
      <c r="H210" s="93"/>
    </row>
    <row r="211" spans="1:8" ht="12" customHeight="1">
      <c r="A211" s="93"/>
      <c r="B211" s="90"/>
      <c r="C211" s="32" t="s">
        <v>60</v>
      </c>
      <c r="D211" s="33">
        <v>603</v>
      </c>
      <c r="E211" s="11">
        <f t="shared" si="4"/>
        <v>422</v>
      </c>
      <c r="F211" s="90"/>
      <c r="G211" s="90"/>
      <c r="H211" s="93"/>
    </row>
    <row r="212" spans="1:8" ht="12" customHeight="1">
      <c r="A212" s="93"/>
      <c r="B212" s="90"/>
      <c r="C212" s="32" t="s">
        <v>237</v>
      </c>
      <c r="D212" s="33">
        <v>784</v>
      </c>
      <c r="E212" s="11">
        <f t="shared" si="4"/>
        <v>549</v>
      </c>
      <c r="F212" s="90"/>
      <c r="G212" s="90"/>
      <c r="H212" s="93"/>
    </row>
    <row r="213" spans="1:8" ht="12" customHeight="1">
      <c r="A213" s="93"/>
      <c r="B213" s="90"/>
      <c r="C213" s="32" t="s">
        <v>302</v>
      </c>
      <c r="D213" s="33">
        <v>260</v>
      </c>
      <c r="E213" s="11">
        <f t="shared" si="4"/>
        <v>182</v>
      </c>
      <c r="F213" s="90"/>
      <c r="G213" s="90"/>
      <c r="H213" s="93"/>
    </row>
    <row r="214" spans="1:8" ht="12" customHeight="1">
      <c r="A214" s="93"/>
      <c r="B214" s="90"/>
      <c r="C214" s="32" t="s">
        <v>306</v>
      </c>
      <c r="D214" s="33">
        <v>1032</v>
      </c>
      <c r="E214" s="11">
        <f t="shared" si="4"/>
        <v>722</v>
      </c>
      <c r="F214" s="90"/>
      <c r="G214" s="90"/>
      <c r="H214" s="93"/>
    </row>
    <row r="215" spans="1:8" ht="12" customHeight="1">
      <c r="A215" s="93"/>
      <c r="B215" s="90"/>
      <c r="C215" s="32" t="s">
        <v>249</v>
      </c>
      <c r="D215" s="33">
        <v>497</v>
      </c>
      <c r="E215" s="11">
        <f t="shared" si="4"/>
        <v>348</v>
      </c>
      <c r="F215" s="90"/>
      <c r="G215" s="90"/>
      <c r="H215" s="93"/>
    </row>
    <row r="216" spans="1:8" ht="12" customHeight="1">
      <c r="A216" s="93"/>
      <c r="B216" s="90"/>
      <c r="C216" s="32" t="s">
        <v>61</v>
      </c>
      <c r="D216" s="33">
        <v>847</v>
      </c>
      <c r="E216" s="11">
        <f t="shared" si="4"/>
        <v>593</v>
      </c>
      <c r="F216" s="90"/>
      <c r="G216" s="90"/>
      <c r="H216" s="93"/>
    </row>
    <row r="217" spans="1:8" ht="12" customHeight="1">
      <c r="A217" s="93"/>
      <c r="B217" s="90"/>
      <c r="C217" s="32" t="s">
        <v>315</v>
      </c>
      <c r="D217" s="33">
        <v>688</v>
      </c>
      <c r="E217" s="11">
        <f t="shared" si="4"/>
        <v>482</v>
      </c>
      <c r="F217" s="90"/>
      <c r="G217" s="90"/>
      <c r="H217" s="93"/>
    </row>
    <row r="218" spans="1:8" ht="12" customHeight="1">
      <c r="A218" s="93"/>
      <c r="B218" s="90"/>
      <c r="C218" s="32" t="s">
        <v>266</v>
      </c>
      <c r="D218" s="33">
        <v>260</v>
      </c>
      <c r="E218" s="11">
        <f t="shared" si="4"/>
        <v>182</v>
      </c>
      <c r="F218" s="90"/>
      <c r="G218" s="90"/>
      <c r="H218" s="93"/>
    </row>
    <row r="219" spans="1:8" ht="12" customHeight="1">
      <c r="A219" s="93"/>
      <c r="B219" s="90"/>
      <c r="C219" s="32" t="s">
        <v>267</v>
      </c>
      <c r="D219" s="33">
        <v>314</v>
      </c>
      <c r="E219" s="11">
        <f t="shared" si="4"/>
        <v>220</v>
      </c>
      <c r="F219" s="90"/>
      <c r="G219" s="90"/>
      <c r="H219" s="93"/>
    </row>
    <row r="220" spans="1:8" ht="12" customHeight="1">
      <c r="A220" s="93"/>
      <c r="B220" s="90"/>
      <c r="C220" s="32" t="s">
        <v>62</v>
      </c>
      <c r="D220" s="33">
        <v>335</v>
      </c>
      <c r="E220" s="11">
        <f t="shared" si="4"/>
        <v>235</v>
      </c>
      <c r="F220" s="90"/>
      <c r="G220" s="90"/>
      <c r="H220" s="93"/>
    </row>
    <row r="221" spans="1:8" ht="12" customHeight="1">
      <c r="A221" s="93"/>
      <c r="B221" s="90"/>
      <c r="C221" s="32" t="s">
        <v>230</v>
      </c>
      <c r="D221" s="33">
        <v>491</v>
      </c>
      <c r="E221" s="11">
        <f t="shared" si="4"/>
        <v>344</v>
      </c>
      <c r="F221" s="90"/>
      <c r="G221" s="90"/>
      <c r="H221" s="93"/>
    </row>
    <row r="222" spans="1:8" ht="12" customHeight="1">
      <c r="A222" s="93"/>
      <c r="B222" s="90"/>
      <c r="C222" s="32" t="s">
        <v>109</v>
      </c>
      <c r="D222" s="33">
        <v>467</v>
      </c>
      <c r="E222" s="11">
        <f t="shared" si="4"/>
        <v>327</v>
      </c>
      <c r="F222" s="90"/>
      <c r="G222" s="90"/>
      <c r="H222" s="93"/>
    </row>
    <row r="223" spans="1:8" ht="12" customHeight="1">
      <c r="A223" s="93"/>
      <c r="B223" s="90"/>
      <c r="C223" s="32" t="s">
        <v>63</v>
      </c>
      <c r="D223" s="33">
        <v>580</v>
      </c>
      <c r="E223" s="11">
        <f t="shared" si="4"/>
        <v>406</v>
      </c>
      <c r="F223" s="90"/>
      <c r="G223" s="90"/>
      <c r="H223" s="93"/>
    </row>
    <row r="224" spans="1:8" ht="12" customHeight="1">
      <c r="A224" s="93"/>
      <c r="B224" s="90"/>
      <c r="C224" s="32" t="s">
        <v>64</v>
      </c>
      <c r="D224" s="33">
        <v>454</v>
      </c>
      <c r="E224" s="11">
        <f t="shared" si="4"/>
        <v>318</v>
      </c>
      <c r="F224" s="90"/>
      <c r="G224" s="90"/>
      <c r="H224" s="93"/>
    </row>
    <row r="225" spans="1:8" ht="12" customHeight="1">
      <c r="A225" s="93"/>
      <c r="B225" s="90"/>
      <c r="C225" s="32" t="s">
        <v>148</v>
      </c>
      <c r="D225" s="33">
        <v>398</v>
      </c>
      <c r="E225" s="11">
        <f t="shared" si="4"/>
        <v>279</v>
      </c>
      <c r="F225" s="90"/>
      <c r="G225" s="90"/>
      <c r="H225" s="93"/>
    </row>
    <row r="226" spans="1:8" ht="12" customHeight="1">
      <c r="A226" s="93"/>
      <c r="B226" s="90"/>
      <c r="C226" s="32" t="s">
        <v>268</v>
      </c>
      <c r="D226" s="33">
        <v>440</v>
      </c>
      <c r="E226" s="11">
        <f t="shared" si="4"/>
        <v>308</v>
      </c>
      <c r="F226" s="90"/>
      <c r="G226" s="90"/>
      <c r="H226" s="93"/>
    </row>
    <row r="227" spans="1:8" ht="12" customHeight="1">
      <c r="A227" s="93"/>
      <c r="B227" s="90"/>
      <c r="C227" s="32" t="s">
        <v>65</v>
      </c>
      <c r="D227" s="33">
        <v>507</v>
      </c>
      <c r="E227" s="11">
        <f t="shared" si="4"/>
        <v>355</v>
      </c>
      <c r="F227" s="90"/>
      <c r="G227" s="90"/>
      <c r="H227" s="93"/>
    </row>
    <row r="228" spans="1:8" ht="12" customHeight="1">
      <c r="A228" s="93"/>
      <c r="B228" s="90"/>
      <c r="C228" s="32" t="s">
        <v>269</v>
      </c>
      <c r="D228" s="33">
        <v>560</v>
      </c>
      <c r="E228" s="11">
        <f t="shared" si="4"/>
        <v>392</v>
      </c>
      <c r="F228" s="90"/>
      <c r="G228" s="90"/>
      <c r="H228" s="93"/>
    </row>
    <row r="229" spans="1:8" ht="12" customHeight="1">
      <c r="A229" s="93"/>
      <c r="B229" s="90"/>
      <c r="C229" s="32" t="s">
        <v>146</v>
      </c>
      <c r="D229" s="33">
        <v>415</v>
      </c>
      <c r="E229" s="11">
        <f t="shared" si="4"/>
        <v>291</v>
      </c>
      <c r="F229" s="90"/>
      <c r="G229" s="90"/>
      <c r="H229" s="93"/>
    </row>
    <row r="230" spans="1:8" ht="12" customHeight="1">
      <c r="A230" s="93"/>
      <c r="B230" s="90"/>
      <c r="C230" s="32" t="s">
        <v>66</v>
      </c>
      <c r="D230" s="33">
        <v>337</v>
      </c>
      <c r="E230" s="11">
        <f t="shared" si="4"/>
        <v>236</v>
      </c>
      <c r="F230" s="90"/>
      <c r="G230" s="90"/>
      <c r="H230" s="93"/>
    </row>
    <row r="231" spans="1:8" ht="12" customHeight="1">
      <c r="A231" s="93"/>
      <c r="B231" s="90"/>
      <c r="C231" s="32" t="s">
        <v>67</v>
      </c>
      <c r="D231" s="33">
        <v>898</v>
      </c>
      <c r="E231" s="11">
        <f t="shared" si="4"/>
        <v>629</v>
      </c>
      <c r="F231" s="90"/>
      <c r="G231" s="90"/>
      <c r="H231" s="93"/>
    </row>
    <row r="232" spans="1:8" ht="12" customHeight="1">
      <c r="A232" s="93"/>
      <c r="B232" s="90"/>
      <c r="C232" s="32" t="s">
        <v>238</v>
      </c>
      <c r="D232" s="33">
        <v>395</v>
      </c>
      <c r="E232" s="11">
        <f t="shared" si="4"/>
        <v>277</v>
      </c>
      <c r="F232" s="90"/>
      <c r="G232" s="90"/>
      <c r="H232" s="93"/>
    </row>
    <row r="233" spans="1:8" ht="12" customHeight="1">
      <c r="A233" s="93"/>
      <c r="B233" s="90"/>
      <c r="C233" s="32" t="s">
        <v>262</v>
      </c>
      <c r="D233" s="33">
        <v>392</v>
      </c>
      <c r="E233" s="11">
        <f t="shared" si="4"/>
        <v>274</v>
      </c>
      <c r="F233" s="90"/>
      <c r="G233" s="90"/>
      <c r="H233" s="93"/>
    </row>
    <row r="234" spans="1:8" ht="12.75" customHeight="1">
      <c r="A234" s="93"/>
      <c r="B234" s="90"/>
      <c r="C234" s="32" t="s">
        <v>270</v>
      </c>
      <c r="D234" s="33">
        <v>260</v>
      </c>
      <c r="E234" s="11">
        <f t="shared" si="4"/>
        <v>182</v>
      </c>
      <c r="F234" s="90"/>
      <c r="G234" s="90"/>
      <c r="H234" s="93"/>
    </row>
    <row r="235" spans="1:8" ht="12" customHeight="1">
      <c r="A235" s="93"/>
      <c r="B235" s="90"/>
      <c r="C235" s="32" t="s">
        <v>5</v>
      </c>
      <c r="D235" s="33">
        <v>721</v>
      </c>
      <c r="E235" s="11">
        <f t="shared" si="4"/>
        <v>505</v>
      </c>
      <c r="F235" s="90"/>
      <c r="G235" s="90"/>
      <c r="H235" s="93"/>
    </row>
    <row r="236" spans="1:8" ht="12" customHeight="1">
      <c r="A236" s="93"/>
      <c r="B236" s="90"/>
      <c r="C236" s="32" t="s">
        <v>257</v>
      </c>
      <c r="D236" s="33">
        <v>754</v>
      </c>
      <c r="E236" s="11">
        <f t="shared" si="4"/>
        <v>528</v>
      </c>
      <c r="F236" s="90"/>
      <c r="G236" s="90"/>
      <c r="H236" s="93"/>
    </row>
    <row r="237" spans="1:8" ht="12" customHeight="1">
      <c r="A237" s="93"/>
      <c r="B237" s="90"/>
      <c r="C237" s="32" t="s">
        <v>68</v>
      </c>
      <c r="D237" s="33">
        <v>287</v>
      </c>
      <c r="E237" s="11">
        <f t="shared" ref="E237" si="5">ROUND($E$127*D237,0)</f>
        <v>201</v>
      </c>
      <c r="F237" s="90"/>
      <c r="G237" s="90"/>
      <c r="H237" s="93"/>
    </row>
    <row r="238" spans="1:8" ht="12" customHeight="1">
      <c r="A238" s="93"/>
      <c r="B238" s="90"/>
      <c r="C238" s="32" t="s">
        <v>239</v>
      </c>
      <c r="D238" s="33">
        <v>470</v>
      </c>
      <c r="E238" s="11">
        <f t="shared" si="4"/>
        <v>329</v>
      </c>
      <c r="F238" s="90"/>
      <c r="G238" s="90"/>
      <c r="H238" s="93"/>
    </row>
    <row r="239" spans="1:8" ht="12" customHeight="1">
      <c r="A239" s="93"/>
      <c r="B239" s="90"/>
      <c r="C239" s="32" t="s">
        <v>241</v>
      </c>
      <c r="D239" s="33">
        <v>361</v>
      </c>
      <c r="E239" s="11">
        <f t="shared" si="4"/>
        <v>253</v>
      </c>
      <c r="F239" s="90"/>
      <c r="G239" s="90"/>
      <c r="H239" s="93"/>
    </row>
    <row r="240" spans="1:8" ht="12" customHeight="1">
      <c r="A240" s="93"/>
      <c r="B240" s="90"/>
      <c r="C240" s="32" t="s">
        <v>69</v>
      </c>
      <c r="D240" s="33">
        <v>663</v>
      </c>
      <c r="E240" s="11">
        <f t="shared" si="4"/>
        <v>464</v>
      </c>
      <c r="F240" s="90"/>
      <c r="G240" s="90"/>
      <c r="H240" s="93"/>
    </row>
    <row r="241" spans="1:8" ht="12" customHeight="1">
      <c r="A241" s="93"/>
      <c r="B241" s="90"/>
      <c r="C241" s="32" t="s">
        <v>308</v>
      </c>
      <c r="D241" s="33">
        <v>305</v>
      </c>
      <c r="E241" s="11">
        <f t="shared" si="4"/>
        <v>214</v>
      </c>
      <c r="F241" s="90"/>
      <c r="G241" s="90"/>
      <c r="H241" s="93"/>
    </row>
    <row r="242" spans="1:8" ht="12" customHeight="1">
      <c r="A242" s="93"/>
      <c r="B242" s="90"/>
      <c r="C242" s="32" t="s">
        <v>6</v>
      </c>
      <c r="D242" s="33">
        <v>1019</v>
      </c>
      <c r="E242" s="11">
        <f t="shared" ref="E242:E277" si="6">ROUND($E$127*D242,0)</f>
        <v>713</v>
      </c>
      <c r="F242" s="90"/>
      <c r="G242" s="90"/>
      <c r="H242" s="93"/>
    </row>
    <row r="243" spans="1:8" ht="12" customHeight="1">
      <c r="A243" s="93"/>
      <c r="B243" s="90"/>
      <c r="C243" s="32" t="s">
        <v>70</v>
      </c>
      <c r="D243" s="33">
        <v>623</v>
      </c>
      <c r="E243" s="11">
        <f t="shared" si="6"/>
        <v>436</v>
      </c>
      <c r="F243" s="90"/>
      <c r="G243" s="90"/>
      <c r="H243" s="93"/>
    </row>
    <row r="244" spans="1:8" ht="12" customHeight="1">
      <c r="A244" s="93"/>
      <c r="B244" s="90"/>
      <c r="C244" s="32" t="s">
        <v>258</v>
      </c>
      <c r="D244" s="33">
        <v>915</v>
      </c>
      <c r="E244" s="11">
        <f t="shared" si="6"/>
        <v>641</v>
      </c>
      <c r="F244" s="90"/>
      <c r="G244" s="90"/>
      <c r="H244" s="93"/>
    </row>
    <row r="245" spans="1:8" ht="12" customHeight="1">
      <c r="A245" s="93"/>
      <c r="B245" s="90"/>
      <c r="C245" s="32" t="s">
        <v>71</v>
      </c>
      <c r="D245" s="33">
        <v>260</v>
      </c>
      <c r="E245" s="11">
        <f t="shared" si="6"/>
        <v>182</v>
      </c>
      <c r="F245" s="90"/>
      <c r="G245" s="90"/>
      <c r="H245" s="93"/>
    </row>
    <row r="246" spans="1:8" ht="12" customHeight="1">
      <c r="A246" s="93"/>
      <c r="B246" s="90"/>
      <c r="C246" s="32" t="s">
        <v>72</v>
      </c>
      <c r="D246" s="33">
        <v>682</v>
      </c>
      <c r="E246" s="11">
        <f t="shared" si="6"/>
        <v>477</v>
      </c>
      <c r="F246" s="90"/>
      <c r="G246" s="90"/>
      <c r="H246" s="93"/>
    </row>
    <row r="247" spans="1:8" ht="12" customHeight="1">
      <c r="A247" s="93"/>
      <c r="B247" s="90"/>
      <c r="C247" s="32" t="s">
        <v>271</v>
      </c>
      <c r="D247" s="33">
        <v>634</v>
      </c>
      <c r="E247" s="11">
        <f t="shared" si="6"/>
        <v>444</v>
      </c>
      <c r="F247" s="90"/>
      <c r="G247" s="90"/>
      <c r="H247" s="93"/>
    </row>
    <row r="248" spans="1:8" ht="12" customHeight="1">
      <c r="A248" s="93"/>
      <c r="B248" s="90"/>
      <c r="C248" s="32" t="s">
        <v>73</v>
      </c>
      <c r="D248" s="33">
        <v>343</v>
      </c>
      <c r="E248" s="11">
        <f t="shared" si="6"/>
        <v>240</v>
      </c>
      <c r="F248" s="90"/>
      <c r="G248" s="90"/>
      <c r="H248" s="93"/>
    </row>
    <row r="249" spans="1:8" ht="12" customHeight="1">
      <c r="A249" s="93"/>
      <c r="B249" s="90"/>
      <c r="C249" s="32" t="s">
        <v>259</v>
      </c>
      <c r="D249" s="33">
        <v>480</v>
      </c>
      <c r="E249" s="11">
        <f t="shared" si="6"/>
        <v>336</v>
      </c>
      <c r="F249" s="90"/>
      <c r="G249" s="90"/>
      <c r="H249" s="93"/>
    </row>
    <row r="250" spans="1:8" ht="12" customHeight="1">
      <c r="A250" s="93"/>
      <c r="B250" s="90"/>
      <c r="C250" s="32" t="s">
        <v>74</v>
      </c>
      <c r="D250" s="33">
        <v>457</v>
      </c>
      <c r="E250" s="11">
        <f t="shared" si="6"/>
        <v>320</v>
      </c>
      <c r="F250" s="90"/>
      <c r="G250" s="90"/>
      <c r="H250" s="93"/>
    </row>
    <row r="251" spans="1:8" ht="12" customHeight="1">
      <c r="A251" s="93"/>
      <c r="B251" s="90"/>
      <c r="C251" s="32" t="s">
        <v>7</v>
      </c>
      <c r="D251" s="33">
        <v>499</v>
      </c>
      <c r="E251" s="11">
        <f t="shared" si="6"/>
        <v>349</v>
      </c>
      <c r="F251" s="90"/>
      <c r="G251" s="90"/>
      <c r="H251" s="93"/>
    </row>
    <row r="252" spans="1:8" ht="12" customHeight="1">
      <c r="A252" s="93"/>
      <c r="B252" s="90"/>
      <c r="C252" s="32" t="s">
        <v>316</v>
      </c>
      <c r="D252" s="33">
        <v>1113</v>
      </c>
      <c r="E252" s="11">
        <f t="shared" si="6"/>
        <v>779</v>
      </c>
      <c r="F252" s="90"/>
      <c r="G252" s="90"/>
      <c r="H252" s="93"/>
    </row>
    <row r="253" spans="1:8" ht="12" customHeight="1">
      <c r="A253" s="93"/>
      <c r="B253" s="90"/>
      <c r="C253" s="32" t="s">
        <v>150</v>
      </c>
      <c r="D253" s="33">
        <v>897</v>
      </c>
      <c r="E253" s="11">
        <f t="shared" si="6"/>
        <v>628</v>
      </c>
      <c r="F253" s="90"/>
      <c r="G253" s="90"/>
      <c r="H253" s="93"/>
    </row>
    <row r="254" spans="1:8" ht="12" customHeight="1">
      <c r="A254" s="93"/>
      <c r="B254" s="90"/>
      <c r="C254" s="32" t="s">
        <v>75</v>
      </c>
      <c r="D254" s="33">
        <v>357</v>
      </c>
      <c r="E254" s="11">
        <f t="shared" si="6"/>
        <v>250</v>
      </c>
      <c r="F254" s="90"/>
      <c r="G254" s="90"/>
      <c r="H254" s="93"/>
    </row>
    <row r="255" spans="1:8" ht="12" customHeight="1">
      <c r="A255" s="93"/>
      <c r="B255" s="90"/>
      <c r="C255" s="32" t="s">
        <v>110</v>
      </c>
      <c r="D255" s="33">
        <v>331</v>
      </c>
      <c r="E255" s="11">
        <f t="shared" si="6"/>
        <v>232</v>
      </c>
      <c r="F255" s="90"/>
      <c r="G255" s="90"/>
      <c r="H255" s="93"/>
    </row>
    <row r="256" spans="1:8" ht="12" customHeight="1">
      <c r="A256" s="93"/>
      <c r="B256" s="90"/>
      <c r="C256" s="32" t="s">
        <v>8</v>
      </c>
      <c r="D256" s="33">
        <v>727</v>
      </c>
      <c r="E256" s="11">
        <f t="shared" si="6"/>
        <v>509</v>
      </c>
      <c r="F256" s="90"/>
      <c r="G256" s="90"/>
      <c r="H256" s="93"/>
    </row>
    <row r="257" spans="1:8" ht="12" customHeight="1">
      <c r="A257" s="93"/>
      <c r="B257" s="90"/>
      <c r="C257" s="32" t="s">
        <v>242</v>
      </c>
      <c r="D257" s="33">
        <v>681</v>
      </c>
      <c r="E257" s="11">
        <f t="shared" si="6"/>
        <v>477</v>
      </c>
      <c r="F257" s="90"/>
      <c r="G257" s="90"/>
      <c r="H257" s="93"/>
    </row>
    <row r="258" spans="1:8" ht="12" customHeight="1">
      <c r="A258" s="93"/>
      <c r="B258" s="90"/>
      <c r="C258" s="32" t="s">
        <v>252</v>
      </c>
      <c r="D258" s="33">
        <v>590</v>
      </c>
      <c r="E258" s="11">
        <f t="shared" si="6"/>
        <v>413</v>
      </c>
      <c r="F258" s="90"/>
      <c r="G258" s="90"/>
      <c r="H258" s="93"/>
    </row>
    <row r="259" spans="1:8" ht="12" customHeight="1">
      <c r="A259" s="93"/>
      <c r="B259" s="90"/>
      <c r="C259" s="32" t="s">
        <v>272</v>
      </c>
      <c r="D259" s="33">
        <v>608</v>
      </c>
      <c r="E259" s="11">
        <f t="shared" si="6"/>
        <v>426</v>
      </c>
      <c r="F259" s="90"/>
      <c r="G259" s="90"/>
      <c r="H259" s="93"/>
    </row>
    <row r="260" spans="1:8" ht="12" customHeight="1">
      <c r="A260" s="93"/>
      <c r="B260" s="90"/>
      <c r="C260" s="32" t="s">
        <v>307</v>
      </c>
      <c r="D260" s="33">
        <v>701</v>
      </c>
      <c r="E260" s="11">
        <f t="shared" si="6"/>
        <v>491</v>
      </c>
      <c r="F260" s="90"/>
      <c r="G260" s="90"/>
      <c r="H260" s="93"/>
    </row>
    <row r="261" spans="1:8" ht="12" customHeight="1">
      <c r="A261" s="93"/>
      <c r="B261" s="90"/>
      <c r="C261" s="32" t="s">
        <v>76</v>
      </c>
      <c r="D261" s="33">
        <v>1008</v>
      </c>
      <c r="E261" s="11">
        <f t="shared" si="6"/>
        <v>706</v>
      </c>
      <c r="F261" s="90"/>
      <c r="G261" s="90"/>
      <c r="H261" s="93"/>
    </row>
    <row r="262" spans="1:8" ht="12" customHeight="1">
      <c r="A262" s="93"/>
      <c r="B262" s="90"/>
      <c r="C262" s="32" t="s">
        <v>9</v>
      </c>
      <c r="D262" s="33">
        <v>1149</v>
      </c>
      <c r="E262" s="11">
        <f t="shared" si="6"/>
        <v>804</v>
      </c>
      <c r="F262" s="90"/>
      <c r="G262" s="90"/>
      <c r="H262" s="93"/>
    </row>
    <row r="263" spans="1:8" ht="12" customHeight="1">
      <c r="A263" s="93"/>
      <c r="B263" s="90"/>
      <c r="C263" s="32" t="s">
        <v>77</v>
      </c>
      <c r="D263" s="33">
        <v>561</v>
      </c>
      <c r="E263" s="11">
        <f t="shared" si="6"/>
        <v>393</v>
      </c>
      <c r="F263" s="90"/>
      <c r="G263" s="90"/>
      <c r="H263" s="93"/>
    </row>
    <row r="264" spans="1:8" ht="12" customHeight="1">
      <c r="A264" s="93"/>
      <c r="B264" s="90"/>
      <c r="C264" s="32" t="s">
        <v>163</v>
      </c>
      <c r="D264" s="33">
        <v>390</v>
      </c>
      <c r="E264" s="11">
        <f t="shared" si="6"/>
        <v>273</v>
      </c>
      <c r="F264" s="90"/>
      <c r="G264" s="90"/>
      <c r="H264" s="93"/>
    </row>
    <row r="265" spans="1:8" ht="12" customHeight="1">
      <c r="A265" s="93"/>
      <c r="B265" s="90"/>
      <c r="C265" s="32" t="s">
        <v>253</v>
      </c>
      <c r="D265" s="33">
        <v>1058</v>
      </c>
      <c r="E265" s="11">
        <f t="shared" si="6"/>
        <v>741</v>
      </c>
      <c r="F265" s="90"/>
      <c r="G265" s="90"/>
      <c r="H265" s="93"/>
    </row>
    <row r="266" spans="1:8" ht="12" customHeight="1">
      <c r="A266" s="93"/>
      <c r="B266" s="90"/>
      <c r="C266" s="32" t="s">
        <v>243</v>
      </c>
      <c r="D266" s="33">
        <v>262</v>
      </c>
      <c r="E266" s="11">
        <f t="shared" si="6"/>
        <v>183</v>
      </c>
      <c r="F266" s="90"/>
      <c r="G266" s="90"/>
      <c r="H266" s="93"/>
    </row>
    <row r="267" spans="1:8" ht="12" customHeight="1">
      <c r="A267" s="93"/>
      <c r="B267" s="90"/>
      <c r="C267" s="32" t="s">
        <v>78</v>
      </c>
      <c r="D267" s="33">
        <v>862</v>
      </c>
      <c r="E267" s="11">
        <f t="shared" si="6"/>
        <v>603</v>
      </c>
      <c r="F267" s="90"/>
      <c r="G267" s="90"/>
      <c r="H267" s="93"/>
    </row>
    <row r="268" spans="1:8" ht="12" customHeight="1">
      <c r="A268" s="93"/>
      <c r="B268" s="90"/>
      <c r="C268" s="32" t="s">
        <v>79</v>
      </c>
      <c r="D268" s="33">
        <v>548</v>
      </c>
      <c r="E268" s="11">
        <f t="shared" si="6"/>
        <v>384</v>
      </c>
      <c r="F268" s="90"/>
      <c r="G268" s="90"/>
      <c r="H268" s="93"/>
    </row>
    <row r="269" spans="1:8" ht="12" customHeight="1">
      <c r="A269" s="93"/>
      <c r="B269" s="90"/>
      <c r="C269" s="32" t="s">
        <v>80</v>
      </c>
      <c r="D269" s="33">
        <v>539</v>
      </c>
      <c r="E269" s="11">
        <f t="shared" si="6"/>
        <v>377</v>
      </c>
      <c r="F269" s="90"/>
      <c r="G269" s="90"/>
      <c r="H269" s="93"/>
    </row>
    <row r="270" spans="1:8" ht="12" customHeight="1">
      <c r="A270" s="93"/>
      <c r="B270" s="90"/>
      <c r="C270" s="32" t="s">
        <v>10</v>
      </c>
      <c r="D270" s="33">
        <v>646</v>
      </c>
      <c r="E270" s="11">
        <f t="shared" si="6"/>
        <v>452</v>
      </c>
      <c r="F270" s="90"/>
      <c r="G270" s="90"/>
      <c r="H270" s="93"/>
    </row>
    <row r="271" spans="1:8" ht="12" customHeight="1">
      <c r="A271" s="93"/>
      <c r="B271" s="90"/>
      <c r="C271" s="32" t="s">
        <v>81</v>
      </c>
      <c r="D271" s="33">
        <v>260</v>
      </c>
      <c r="E271" s="11">
        <f t="shared" si="6"/>
        <v>182</v>
      </c>
      <c r="F271" s="90"/>
      <c r="G271" s="90"/>
      <c r="H271" s="93"/>
    </row>
    <row r="272" spans="1:8" ht="12" customHeight="1">
      <c r="A272" s="93"/>
      <c r="B272" s="90"/>
      <c r="C272" s="32" t="s">
        <v>82</v>
      </c>
      <c r="D272" s="33">
        <v>779</v>
      </c>
      <c r="E272" s="11">
        <f t="shared" si="6"/>
        <v>545</v>
      </c>
      <c r="F272" s="90"/>
      <c r="G272" s="90"/>
      <c r="H272" s="93"/>
    </row>
    <row r="273" spans="1:8" ht="12" customHeight="1">
      <c r="A273" s="93"/>
      <c r="B273" s="90"/>
      <c r="C273" s="32" t="s">
        <v>260</v>
      </c>
      <c r="D273" s="33">
        <v>522</v>
      </c>
      <c r="E273" s="11">
        <f t="shared" si="6"/>
        <v>365</v>
      </c>
      <c r="F273" s="90"/>
      <c r="G273" s="90"/>
      <c r="H273" s="93"/>
    </row>
    <row r="274" spans="1:8" ht="12" customHeight="1">
      <c r="A274" s="93"/>
      <c r="B274" s="90"/>
      <c r="C274" s="32" t="s">
        <v>83</v>
      </c>
      <c r="D274" s="33">
        <v>260</v>
      </c>
      <c r="E274" s="11">
        <f t="shared" si="6"/>
        <v>182</v>
      </c>
      <c r="F274" s="90"/>
      <c r="G274" s="90"/>
      <c r="H274" s="93"/>
    </row>
    <row r="275" spans="1:8" ht="12" customHeight="1">
      <c r="A275" s="93"/>
      <c r="B275" s="90"/>
      <c r="C275" s="32" t="s">
        <v>84</v>
      </c>
      <c r="D275" s="33">
        <v>289</v>
      </c>
      <c r="E275" s="11">
        <f t="shared" si="6"/>
        <v>202</v>
      </c>
      <c r="F275" s="90"/>
      <c r="G275" s="90"/>
      <c r="H275" s="93"/>
    </row>
    <row r="276" spans="1:8" ht="12" customHeight="1">
      <c r="A276" s="93"/>
      <c r="B276" s="90"/>
      <c r="C276" s="32" t="s">
        <v>85</v>
      </c>
      <c r="D276" s="33">
        <v>636</v>
      </c>
      <c r="E276" s="11">
        <f t="shared" si="6"/>
        <v>445</v>
      </c>
      <c r="F276" s="90"/>
      <c r="G276" s="90"/>
      <c r="H276" s="93"/>
    </row>
    <row r="277" spans="1:8" ht="12" customHeight="1">
      <c r="A277" s="93"/>
      <c r="B277" s="90"/>
      <c r="C277" s="32" t="s">
        <v>261</v>
      </c>
      <c r="D277" s="33">
        <v>631</v>
      </c>
      <c r="E277" s="11">
        <f t="shared" si="6"/>
        <v>442</v>
      </c>
      <c r="F277" s="90"/>
      <c r="G277" s="90"/>
      <c r="H277" s="93"/>
    </row>
    <row r="278" spans="1:8" ht="12" customHeight="1">
      <c r="A278" s="93"/>
      <c r="B278" s="90"/>
      <c r="C278" s="32" t="s">
        <v>86</v>
      </c>
      <c r="D278" s="33">
        <v>462</v>
      </c>
      <c r="E278" s="11">
        <f t="shared" ref="E278:E300" si="7">ROUND($E$127*D278,0)</f>
        <v>323</v>
      </c>
      <c r="F278" s="90"/>
      <c r="G278" s="90"/>
      <c r="H278" s="93"/>
    </row>
    <row r="279" spans="1:8" ht="12" customHeight="1">
      <c r="A279" s="93"/>
      <c r="B279" s="90"/>
      <c r="C279" s="32" t="s">
        <v>87</v>
      </c>
      <c r="D279" s="33">
        <v>546</v>
      </c>
      <c r="E279" s="11">
        <f t="shared" si="7"/>
        <v>382</v>
      </c>
      <c r="F279" s="90"/>
      <c r="G279" s="90"/>
      <c r="H279" s="93"/>
    </row>
    <row r="280" spans="1:8" ht="12" customHeight="1">
      <c r="A280" s="93"/>
      <c r="B280" s="90"/>
      <c r="C280" s="32" t="s">
        <v>88</v>
      </c>
      <c r="D280" s="33">
        <v>529</v>
      </c>
      <c r="E280" s="11">
        <f t="shared" si="7"/>
        <v>370</v>
      </c>
      <c r="F280" s="90"/>
      <c r="G280" s="90"/>
      <c r="H280" s="93"/>
    </row>
    <row r="281" spans="1:8" ht="12" customHeight="1">
      <c r="A281" s="93"/>
      <c r="B281" s="90"/>
      <c r="C281" s="32" t="s">
        <v>244</v>
      </c>
      <c r="D281" s="33">
        <v>530</v>
      </c>
      <c r="E281" s="11">
        <f t="shared" si="7"/>
        <v>371</v>
      </c>
      <c r="F281" s="90"/>
      <c r="G281" s="90"/>
      <c r="H281" s="93"/>
    </row>
    <row r="282" spans="1:8" ht="12" customHeight="1">
      <c r="A282" s="93"/>
      <c r="B282" s="90"/>
      <c r="C282" s="32" t="s">
        <v>273</v>
      </c>
      <c r="D282" s="33">
        <v>482</v>
      </c>
      <c r="E282" s="11">
        <f t="shared" si="7"/>
        <v>337</v>
      </c>
      <c r="F282" s="90"/>
      <c r="G282" s="90"/>
      <c r="H282" s="93"/>
    </row>
    <row r="283" spans="1:8" ht="12" customHeight="1">
      <c r="A283" s="93"/>
      <c r="B283" s="90"/>
      <c r="C283" s="32" t="s">
        <v>89</v>
      </c>
      <c r="D283" s="33">
        <v>927</v>
      </c>
      <c r="E283" s="11">
        <f t="shared" si="7"/>
        <v>649</v>
      </c>
      <c r="F283" s="90"/>
      <c r="G283" s="90"/>
      <c r="H283" s="93"/>
    </row>
    <row r="284" spans="1:8" ht="12" customHeight="1">
      <c r="A284" s="93"/>
      <c r="B284" s="90"/>
      <c r="C284" s="32" t="s">
        <v>151</v>
      </c>
      <c r="D284" s="33">
        <v>260</v>
      </c>
      <c r="E284" s="11">
        <f t="shared" si="7"/>
        <v>182</v>
      </c>
      <c r="F284" s="90"/>
      <c r="G284" s="90"/>
      <c r="H284" s="93"/>
    </row>
    <row r="285" spans="1:8" ht="12" customHeight="1">
      <c r="A285" s="93"/>
      <c r="B285" s="90"/>
      <c r="C285" s="32" t="s">
        <v>99</v>
      </c>
      <c r="D285" s="33">
        <v>260</v>
      </c>
      <c r="E285" s="11">
        <f t="shared" si="7"/>
        <v>182</v>
      </c>
      <c r="F285" s="90"/>
      <c r="G285" s="90"/>
      <c r="H285" s="93"/>
    </row>
    <row r="286" spans="1:8" ht="12" customHeight="1">
      <c r="A286" s="93"/>
      <c r="B286" s="90"/>
      <c r="C286" s="32" t="s">
        <v>274</v>
      </c>
      <c r="D286" s="33">
        <v>1533</v>
      </c>
      <c r="E286" s="11">
        <f t="shared" si="7"/>
        <v>1073</v>
      </c>
      <c r="F286" s="90"/>
      <c r="G286" s="90"/>
      <c r="H286" s="93"/>
    </row>
    <row r="287" spans="1:8" ht="12" customHeight="1">
      <c r="A287" s="93"/>
      <c r="B287" s="90"/>
      <c r="C287" s="32" t="s">
        <v>11</v>
      </c>
      <c r="D287" s="33">
        <v>718</v>
      </c>
      <c r="E287" s="11">
        <f t="shared" si="7"/>
        <v>503</v>
      </c>
      <c r="F287" s="90"/>
      <c r="G287" s="90"/>
      <c r="H287" s="93"/>
    </row>
    <row r="288" spans="1:8" ht="12" customHeight="1">
      <c r="A288" s="93"/>
      <c r="B288" s="90"/>
      <c r="C288" s="32" t="s">
        <v>90</v>
      </c>
      <c r="D288" s="33">
        <v>415</v>
      </c>
      <c r="E288" s="11">
        <f t="shared" si="7"/>
        <v>291</v>
      </c>
      <c r="F288" s="90"/>
      <c r="G288" s="90"/>
      <c r="H288" s="93"/>
    </row>
    <row r="289" spans="1:8" ht="12" customHeight="1">
      <c r="A289" s="93"/>
      <c r="B289" s="90"/>
      <c r="C289" s="32" t="s">
        <v>91</v>
      </c>
      <c r="D289" s="33">
        <v>331</v>
      </c>
      <c r="E289" s="11">
        <f t="shared" si="7"/>
        <v>232</v>
      </c>
      <c r="F289" s="90"/>
      <c r="G289" s="90"/>
      <c r="H289" s="93"/>
    </row>
    <row r="290" spans="1:8" ht="12" customHeight="1">
      <c r="A290" s="93"/>
      <c r="B290" s="90"/>
      <c r="C290" s="32" t="s">
        <v>12</v>
      </c>
      <c r="D290" s="33">
        <v>385</v>
      </c>
      <c r="E290" s="11">
        <f t="shared" ref="E290" si="8">ROUND($E$127*D290,0)</f>
        <v>270</v>
      </c>
      <c r="F290" s="90"/>
      <c r="G290" s="90"/>
      <c r="H290" s="93"/>
    </row>
    <row r="291" spans="1:8" ht="12" customHeight="1">
      <c r="A291" s="93"/>
      <c r="B291" s="90"/>
      <c r="C291" s="32" t="s">
        <v>92</v>
      </c>
      <c r="D291" s="33">
        <v>547</v>
      </c>
      <c r="E291" s="11">
        <f t="shared" si="7"/>
        <v>383</v>
      </c>
      <c r="F291" s="90"/>
      <c r="G291" s="90"/>
      <c r="H291" s="93"/>
    </row>
    <row r="292" spans="1:8" ht="12" customHeight="1">
      <c r="A292" s="93"/>
      <c r="B292" s="90"/>
      <c r="C292" s="32" t="s">
        <v>317</v>
      </c>
      <c r="D292" s="33">
        <v>1113</v>
      </c>
      <c r="E292" s="11">
        <f t="shared" ref="E292:E296" si="9">ROUND($E$127*D292,0)</f>
        <v>779</v>
      </c>
      <c r="F292" s="90"/>
      <c r="G292" s="90"/>
      <c r="H292" s="93"/>
    </row>
    <row r="293" spans="1:8" ht="12" customHeight="1">
      <c r="A293" s="93"/>
      <c r="B293" s="90"/>
      <c r="C293" s="32" t="s">
        <v>137</v>
      </c>
      <c r="D293" s="33">
        <v>260</v>
      </c>
      <c r="E293" s="11">
        <f t="shared" si="9"/>
        <v>182</v>
      </c>
      <c r="F293" s="90"/>
      <c r="G293" s="90"/>
      <c r="H293" s="93"/>
    </row>
    <row r="294" spans="1:8" ht="12" customHeight="1">
      <c r="A294" s="93"/>
      <c r="B294" s="90"/>
      <c r="C294" s="32" t="s">
        <v>275</v>
      </c>
      <c r="D294" s="33">
        <v>731</v>
      </c>
      <c r="E294" s="11">
        <f t="shared" si="9"/>
        <v>512</v>
      </c>
      <c r="F294" s="90"/>
      <c r="G294" s="90"/>
      <c r="H294" s="93"/>
    </row>
    <row r="295" spans="1:8" ht="12" customHeight="1">
      <c r="A295" s="93"/>
      <c r="B295" s="90"/>
      <c r="C295" s="32" t="s">
        <v>309</v>
      </c>
      <c r="D295" s="33">
        <v>367</v>
      </c>
      <c r="E295" s="11">
        <f t="shared" si="9"/>
        <v>257</v>
      </c>
      <c r="F295" s="90"/>
      <c r="G295" s="90"/>
      <c r="H295" s="93"/>
    </row>
    <row r="296" spans="1:8" ht="12" customHeight="1">
      <c r="A296" s="93"/>
      <c r="B296" s="90"/>
      <c r="C296" s="32" t="s">
        <v>93</v>
      </c>
      <c r="D296" s="33">
        <v>411</v>
      </c>
      <c r="E296" s="11">
        <f t="shared" si="9"/>
        <v>288</v>
      </c>
      <c r="F296" s="90"/>
      <c r="G296" s="90"/>
      <c r="H296" s="93"/>
    </row>
    <row r="297" spans="1:8" ht="12" customHeight="1">
      <c r="A297" s="93"/>
      <c r="B297" s="90"/>
      <c r="C297" s="32" t="s">
        <v>94</v>
      </c>
      <c r="D297" s="33">
        <v>630</v>
      </c>
      <c r="E297" s="11">
        <f t="shared" si="7"/>
        <v>441</v>
      </c>
      <c r="F297" s="90"/>
      <c r="G297" s="90"/>
      <c r="H297" s="93"/>
    </row>
    <row r="298" spans="1:8" ht="12" customHeight="1">
      <c r="A298" s="93"/>
      <c r="B298" s="90"/>
      <c r="C298" s="32" t="s">
        <v>245</v>
      </c>
      <c r="D298" s="33">
        <v>260</v>
      </c>
      <c r="E298" s="11">
        <f t="shared" si="7"/>
        <v>182</v>
      </c>
      <c r="F298" s="90"/>
      <c r="G298" s="90"/>
      <c r="H298" s="93"/>
    </row>
    <row r="299" spans="1:8" ht="12" customHeight="1">
      <c r="A299" s="93"/>
      <c r="B299" s="90"/>
      <c r="C299" s="32" t="s">
        <v>95</v>
      </c>
      <c r="D299" s="33">
        <v>669</v>
      </c>
      <c r="E299" s="11">
        <f t="shared" si="7"/>
        <v>468</v>
      </c>
      <c r="F299" s="90"/>
      <c r="G299" s="90"/>
      <c r="H299" s="93"/>
    </row>
    <row r="300" spans="1:8" ht="12" customHeight="1">
      <c r="A300" s="93"/>
      <c r="B300" s="90"/>
      <c r="C300" s="32" t="s">
        <v>96</v>
      </c>
      <c r="D300" s="33">
        <v>456</v>
      </c>
      <c r="E300" s="11">
        <f t="shared" si="7"/>
        <v>319</v>
      </c>
      <c r="F300" s="90"/>
      <c r="G300" s="90"/>
      <c r="H300" s="93"/>
    </row>
    <row r="301" spans="1:8" ht="12" customHeight="1">
      <c r="A301" s="93"/>
      <c r="B301" s="90"/>
      <c r="C301" s="37" t="s">
        <v>101</v>
      </c>
      <c r="D301" s="34">
        <v>260</v>
      </c>
      <c r="E301" s="36">
        <f>ROUND($E$127*D301,0)</f>
        <v>182</v>
      </c>
      <c r="F301" s="90"/>
      <c r="G301" s="90"/>
      <c r="H301" s="93"/>
    </row>
    <row r="302" spans="1:8" ht="12" customHeight="1">
      <c r="A302" s="93"/>
      <c r="B302" s="90"/>
      <c r="C302" s="158" t="s">
        <v>104</v>
      </c>
      <c r="D302" s="159" t="s">
        <v>169</v>
      </c>
      <c r="E302" s="160" t="s">
        <v>170</v>
      </c>
      <c r="F302" s="145"/>
      <c r="G302" s="145"/>
      <c r="H302" s="93"/>
    </row>
    <row r="303" spans="1:8" ht="12" customHeight="1">
      <c r="A303" s="93"/>
      <c r="B303" s="90"/>
      <c r="C303" s="154" t="s">
        <v>105</v>
      </c>
      <c r="D303" s="33">
        <v>52</v>
      </c>
      <c r="E303" s="53">
        <f>ROUND($E$127*Breakfast,0)</f>
        <v>36</v>
      </c>
      <c r="F303" s="90"/>
      <c r="G303" s="90"/>
      <c r="H303" s="93"/>
    </row>
    <row r="304" spans="1:8" ht="12" customHeight="1">
      <c r="A304" s="93"/>
      <c r="B304" s="90"/>
      <c r="C304" s="154" t="s">
        <v>106</v>
      </c>
      <c r="D304" s="33">
        <v>91</v>
      </c>
      <c r="E304" s="53">
        <f>ROUND($E$127*Lunch,0)</f>
        <v>64</v>
      </c>
      <c r="F304" s="90"/>
      <c r="G304" s="90"/>
      <c r="H304" s="93"/>
    </row>
    <row r="305" spans="1:8" ht="12" customHeight="1">
      <c r="A305" s="93"/>
      <c r="B305" s="90"/>
      <c r="C305" s="156" t="s">
        <v>107</v>
      </c>
      <c r="D305" s="38">
        <v>91</v>
      </c>
      <c r="E305" s="56">
        <f>ROUND($E$127*Dinner,0)</f>
        <v>64</v>
      </c>
      <c r="F305" s="90"/>
      <c r="G305" s="90"/>
      <c r="H305" s="93"/>
    </row>
    <row r="306" spans="1:8" ht="12" customHeight="1">
      <c r="A306" s="93"/>
      <c r="B306" s="90"/>
      <c r="C306" s="129"/>
      <c r="D306" s="145"/>
      <c r="E306" s="145"/>
      <c r="F306" s="145"/>
      <c r="G306" s="145"/>
      <c r="H306" s="93"/>
    </row>
    <row r="307" spans="1:8" ht="12" customHeight="1">
      <c r="A307" s="93"/>
      <c r="B307" s="90"/>
      <c r="C307" s="129" t="s">
        <v>203</v>
      </c>
      <c r="D307" s="129" t="s">
        <v>204</v>
      </c>
      <c r="E307" s="145"/>
      <c r="F307" s="145"/>
      <c r="G307" s="145"/>
      <c r="H307" s="93"/>
    </row>
    <row r="308" spans="1:8" ht="12" customHeight="1">
      <c r="A308" s="93"/>
      <c r="B308" s="90"/>
      <c r="C308" s="152" t="str">
        <f>C303</f>
        <v>Frukost</v>
      </c>
      <c r="D308" s="153">
        <v>0.15</v>
      </c>
      <c r="E308" s="90"/>
      <c r="F308" s="90"/>
      <c r="G308" s="90"/>
      <c r="H308" s="93"/>
    </row>
    <row r="309" spans="1:8" ht="12" customHeight="1">
      <c r="A309" s="93"/>
      <c r="B309" s="90"/>
      <c r="C309" s="154" t="str">
        <f>C304</f>
        <v>Lunch</v>
      </c>
      <c r="D309" s="155">
        <v>0.35</v>
      </c>
      <c r="E309" s="90"/>
      <c r="F309" s="90"/>
      <c r="G309" s="90"/>
      <c r="H309" s="93"/>
    </row>
    <row r="310" spans="1:8" ht="12" customHeight="1">
      <c r="A310" s="93"/>
      <c r="B310" s="90"/>
      <c r="C310" s="156" t="str">
        <f>C305</f>
        <v>Middag</v>
      </c>
      <c r="D310" s="157">
        <v>0.35</v>
      </c>
      <c r="E310" s="90"/>
      <c r="F310" s="90"/>
      <c r="G310" s="90"/>
      <c r="H310" s="93"/>
    </row>
    <row r="311" spans="1:8" ht="12" customHeight="1">
      <c r="A311" s="93"/>
      <c r="B311" s="90"/>
      <c r="C311" s="90"/>
      <c r="D311" s="90"/>
      <c r="E311" s="90"/>
      <c r="F311" s="90"/>
      <c r="G311" s="90"/>
      <c r="H311" s="93"/>
    </row>
    <row r="312" spans="1:8" ht="12" customHeight="1">
      <c r="A312" s="93"/>
      <c r="B312" s="90"/>
      <c r="C312" s="146"/>
      <c r="D312" s="90"/>
      <c r="E312" s="90"/>
      <c r="F312" s="90"/>
      <c r="G312" s="90"/>
      <c r="H312" s="93"/>
    </row>
    <row r="313" spans="1:8" ht="12" customHeight="1">
      <c r="A313" s="93"/>
      <c r="B313" s="90"/>
      <c r="C313" s="147"/>
      <c r="D313" s="90"/>
      <c r="E313" s="90"/>
      <c r="F313" s="90"/>
      <c r="G313" s="90"/>
      <c r="H313" s="93"/>
    </row>
    <row r="314" spans="1:8" ht="12" customHeight="1">
      <c r="A314" s="93"/>
      <c r="B314" s="90"/>
      <c r="C314" s="148"/>
      <c r="D314" s="90"/>
      <c r="E314" s="90"/>
      <c r="F314" s="90"/>
      <c r="G314" s="90"/>
      <c r="H314" s="93"/>
    </row>
    <row r="315" spans="1:8" ht="12" customHeight="1">
      <c r="A315" s="93"/>
      <c r="B315" s="90"/>
      <c r="C315" s="90"/>
      <c r="D315" s="90"/>
      <c r="E315" s="90"/>
      <c r="F315" s="90"/>
      <c r="G315" s="90"/>
      <c r="H315" s="93"/>
    </row>
    <row r="316" spans="1:8" ht="20.25" customHeight="1">
      <c r="A316" s="93"/>
      <c r="B316" s="90"/>
      <c r="C316" s="147"/>
      <c r="D316" s="90"/>
      <c r="E316" s="90"/>
      <c r="F316" s="144" t="s">
        <v>171</v>
      </c>
      <c r="G316" s="90"/>
      <c r="H316" s="93"/>
    </row>
    <row r="317" spans="1:8" ht="12" customHeight="1">
      <c r="A317" s="93"/>
      <c r="B317" s="90"/>
      <c r="C317" s="90"/>
      <c r="D317" s="90"/>
      <c r="E317" s="90"/>
      <c r="F317" s="149">
        <f>ROUND(0.5*Breakfast,0)</f>
        <v>26</v>
      </c>
      <c r="G317" s="90"/>
      <c r="H317" s="93"/>
    </row>
    <row r="318" spans="1:8" ht="12" customHeight="1">
      <c r="A318" s="93"/>
      <c r="B318" s="90"/>
      <c r="C318" s="90"/>
      <c r="D318" s="90"/>
      <c r="E318" s="90"/>
      <c r="F318" s="150">
        <f>ROUND(0.5*Lunch,0)</f>
        <v>46</v>
      </c>
      <c r="G318" s="90"/>
      <c r="H318" s="93"/>
    </row>
    <row r="319" spans="1:8" ht="12" customHeight="1">
      <c r="A319" s="93"/>
      <c r="B319" s="90"/>
      <c r="C319" s="90"/>
      <c r="D319" s="90"/>
      <c r="E319" s="90"/>
      <c r="F319" s="151">
        <f>ROUND(0.5*Dinner,0)</f>
        <v>46</v>
      </c>
      <c r="G319" s="90"/>
      <c r="H319" s="93"/>
    </row>
    <row r="320" spans="1:8" ht="10" customHeight="1">
      <c r="A320" s="93"/>
      <c r="B320" s="90"/>
      <c r="C320" s="90"/>
      <c r="D320" s="90"/>
      <c r="E320" s="90"/>
      <c r="F320" s="90"/>
      <c r="G320" s="90"/>
      <c r="H320" s="93"/>
    </row>
    <row r="321" spans="1:8" ht="18" customHeight="1">
      <c r="A321" s="93"/>
      <c r="B321" s="93"/>
      <c r="C321" s="174"/>
      <c r="D321" s="174"/>
      <c r="E321" s="174"/>
      <c r="F321" s="174"/>
      <c r="G321" s="93"/>
      <c r="H321" s="93"/>
    </row>
  </sheetData>
  <mergeCells count="27">
    <mergeCell ref="E47:F47"/>
    <mergeCell ref="E48:F48"/>
    <mergeCell ref="E49:F49"/>
    <mergeCell ref="E35:F35"/>
    <mergeCell ref="E44:F44"/>
    <mergeCell ref="E45:F45"/>
    <mergeCell ref="E31:F31"/>
    <mergeCell ref="E30:F30"/>
    <mergeCell ref="E32:F32"/>
    <mergeCell ref="E33:F33"/>
    <mergeCell ref="E34:F34"/>
    <mergeCell ref="C321:F321"/>
    <mergeCell ref="C1:F1"/>
    <mergeCell ref="E46:F46"/>
    <mergeCell ref="C2:F2"/>
    <mergeCell ref="C3:F3"/>
    <mergeCell ref="C4:F4"/>
    <mergeCell ref="C5:F5"/>
    <mergeCell ref="C6:F6"/>
    <mergeCell ref="C11:F11"/>
    <mergeCell ref="C12:F12"/>
    <mergeCell ref="C14:F14"/>
    <mergeCell ref="C15:F15"/>
    <mergeCell ref="C7:F7"/>
    <mergeCell ref="C8:F8"/>
    <mergeCell ref="C9:F9"/>
    <mergeCell ref="C126:E126"/>
  </mergeCells>
  <phoneticPr fontId="25" type="noConversion"/>
  <hyperlinks>
    <hyperlink ref="C1:F1" location="MM!B2" tooltip="Klicka för att gå till huvudmenyn" display="T I L L  H U V U D M E N Y N" xr:uid="{00000000-0004-0000-0600-000000000000}"/>
  </hyperlinks>
  <printOptions horizontalCentered="1"/>
  <pageMargins left="0.51181102362204722" right="0.51181102362204722" top="0.98425196850393704" bottom="0.98425196850393704" header="0.51181102362204722" footer="0.39370078740157483"/>
  <pageSetup paperSize="9" scale="95" fitToHeight="6" orientation="portrait" blackAndWhite="1" r:id="rId1"/>
  <headerFooter alignWithMargins="0">
    <oddFooter>&amp;L&amp;"Arial,Normal"&amp;6Copyright DokuMera
&amp;"Arial,Normal"&amp;6DM 1189 &amp;"Arial,Normal"&amp;6V 1.52</oddFooter>
  </headerFooter>
  <rowBreaks count="5" manualBreakCount="5">
    <brk id="95" max="7" man="1"/>
    <brk id="125" max="7" man="1"/>
    <brk id="183" max="7" man="1"/>
    <brk id="240" max="7" man="1"/>
    <brk id="298" max="7" man="1"/>
  </rowBreaks>
  <ignoredErrors>
    <ignoredError sqref="C71:C72 C68:C69 C74:C75 C77:C7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18d2087-532a-4444-be2d-40b784a91feb">
      <Terms xmlns="http://schemas.microsoft.com/office/infopath/2007/PartnerControls"/>
    </lcf76f155ced4ddcb4097134ff3c332f>
    <TaxCatchAll xmlns="ac990af4-dc5d-4e18-a569-2856bd61467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9DB37450C3464FA04947CDD82EDF28" ma:contentTypeVersion="16" ma:contentTypeDescription="Create a new document." ma:contentTypeScope="" ma:versionID="7577c5ef42f8ab89b084ddb02e914c3f">
  <xsd:schema xmlns:xsd="http://www.w3.org/2001/XMLSchema" xmlns:xs="http://www.w3.org/2001/XMLSchema" xmlns:p="http://schemas.microsoft.com/office/2006/metadata/properties" xmlns:ns2="018d2087-532a-4444-be2d-40b784a91feb" xmlns:ns3="ac990af4-dc5d-4e18-a569-2856bd614674" targetNamespace="http://schemas.microsoft.com/office/2006/metadata/properties" ma:root="true" ma:fieldsID="d2551b45cf9260f9238f5cb6aec62aff" ns2:_="" ns3:_="">
    <xsd:import namespace="018d2087-532a-4444-be2d-40b784a91feb"/>
    <xsd:import namespace="ac990af4-dc5d-4e18-a569-2856bd61467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8d2087-532a-4444-be2d-40b784a91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2631098-8732-4008-bda2-72023a43b2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990af4-dc5d-4e18-a569-2856bd6146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59efd7-8413-4b40-894d-c7c6a6b7fc04}" ma:internalName="TaxCatchAll" ma:showField="CatchAllData" ma:web="ac990af4-dc5d-4e18-a569-2856bd6146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70BE1-78B1-41E3-98CF-2F446BA8CB72}">
  <ds:schemaRefs>
    <ds:schemaRef ds:uri="http://schemas.microsoft.com/office/2006/metadata/properties"/>
    <ds:schemaRef ds:uri="http://schemas.microsoft.com/office/infopath/2007/PartnerControls"/>
    <ds:schemaRef ds:uri="018d2087-532a-4444-be2d-40b784a91feb"/>
    <ds:schemaRef ds:uri="ac990af4-dc5d-4e18-a569-2856bd614674"/>
  </ds:schemaRefs>
</ds:datastoreItem>
</file>

<file path=customXml/itemProps2.xml><?xml version="1.0" encoding="utf-8"?>
<ds:datastoreItem xmlns:ds="http://schemas.openxmlformats.org/officeDocument/2006/customXml" ds:itemID="{1DF766FB-96F5-4772-BC0B-B222903AF19D}">
  <ds:schemaRefs>
    <ds:schemaRef ds:uri="http://schemas.microsoft.com/sharepoint/v3/contenttype/forms"/>
  </ds:schemaRefs>
</ds:datastoreItem>
</file>

<file path=customXml/itemProps3.xml><?xml version="1.0" encoding="utf-8"?>
<ds:datastoreItem xmlns:ds="http://schemas.openxmlformats.org/officeDocument/2006/customXml" ds:itemID="{201F9F28-774F-4245-942F-52DCF735A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8d2087-532a-4444-be2d-40b784a91feb"/>
    <ds:schemaRef ds:uri="ac990af4-dc5d-4e18-a569-2856bd6146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75</vt:i4>
      </vt:variant>
    </vt:vector>
  </HeadingPairs>
  <TitlesOfParts>
    <vt:vector size="82" baseType="lpstr">
      <vt:lpstr>MM</vt:lpstr>
      <vt:lpstr>SI</vt:lpstr>
      <vt:lpstr>BI</vt:lpstr>
      <vt:lpstr>ALLOWANCE1</vt:lpstr>
      <vt:lpstr>ALLOWANCE2</vt:lpstr>
      <vt:lpstr>SUMMARY</vt:lpstr>
      <vt:lpstr>EXTDAT</vt:lpstr>
      <vt:lpstr>Accomodations11</vt:lpstr>
      <vt:lpstr>Accomodations12</vt:lpstr>
      <vt:lpstr>Accomodations13</vt:lpstr>
      <vt:lpstr>Accomodations14</vt:lpstr>
      <vt:lpstr>Accomodations15</vt:lpstr>
      <vt:lpstr>Accomodations21</vt:lpstr>
      <vt:lpstr>Accomodations22</vt:lpstr>
      <vt:lpstr>Accomodations23</vt:lpstr>
      <vt:lpstr>Accomodations24</vt:lpstr>
      <vt:lpstr>Accomodations25</vt:lpstr>
      <vt:lpstr>AllowanceDays11</vt:lpstr>
      <vt:lpstr>AllowanceDays12</vt:lpstr>
      <vt:lpstr>AllowanceDays13</vt:lpstr>
      <vt:lpstr>AllowanceDays14</vt:lpstr>
      <vt:lpstr>AllowanceDays15</vt:lpstr>
      <vt:lpstr>AllowanceDays21</vt:lpstr>
      <vt:lpstr>AllowanceDays22</vt:lpstr>
      <vt:lpstr>AllowanceDays23</vt:lpstr>
      <vt:lpstr>AllowanceDays24</vt:lpstr>
      <vt:lpstr>AllowanceDays25</vt:lpstr>
      <vt:lpstr>ArrivalTime11</vt:lpstr>
      <vt:lpstr>ArrivalTime12</vt:lpstr>
      <vt:lpstr>ArrivalTime13</vt:lpstr>
      <vt:lpstr>ArrivalTime14</vt:lpstr>
      <vt:lpstr>ArrivalTime15</vt:lpstr>
      <vt:lpstr>ArrivalTime21</vt:lpstr>
      <vt:lpstr>ArrivalTime22</vt:lpstr>
      <vt:lpstr>ArrivalTime23</vt:lpstr>
      <vt:lpstr>ArrivalTime24</vt:lpstr>
      <vt:lpstr>ArrivalTime25</vt:lpstr>
      <vt:lpstr>ArrivalTimeThresholdHalf</vt:lpstr>
      <vt:lpstr>Breakfast</vt:lpstr>
      <vt:lpstr>BreakfastRed</vt:lpstr>
      <vt:lpstr>BreakfastRedHalf</vt:lpstr>
      <vt:lpstr>CBList2</vt:lpstr>
      <vt:lpstr>DepartureTime11</vt:lpstr>
      <vt:lpstr>DepartureTime12</vt:lpstr>
      <vt:lpstr>DepartureTime13</vt:lpstr>
      <vt:lpstr>DepartureTime14</vt:lpstr>
      <vt:lpstr>DepartureTime15</vt:lpstr>
      <vt:lpstr>DepartureTime21</vt:lpstr>
      <vt:lpstr>DepartureTime22</vt:lpstr>
      <vt:lpstr>DepartureTime23</vt:lpstr>
      <vt:lpstr>DepartureTime24</vt:lpstr>
      <vt:lpstr>DepartureTime25</vt:lpstr>
      <vt:lpstr>DepartureTimeThresholdHalf</vt:lpstr>
      <vt:lpstr>Dinner</vt:lpstr>
      <vt:lpstr>DinnerRed</vt:lpstr>
      <vt:lpstr>DinnerRedHalf</vt:lpstr>
      <vt:lpstr>DmCompanyName</vt:lpstr>
      <vt:lpstr>DmDepartmentName</vt:lpstr>
      <vt:lpstr>DmEmployeeName</vt:lpstr>
      <vt:lpstr>DmEmployeeNumber</vt:lpstr>
      <vt:lpstr>DmTitleRow01ForSheetHeaders</vt:lpstr>
      <vt:lpstr>DmTitleRow02ForSheetHeaders</vt:lpstr>
      <vt:lpstr>Lunch</vt:lpstr>
      <vt:lpstr>LunchRed</vt:lpstr>
      <vt:lpstr>LunchRedHalf</vt:lpstr>
      <vt:lpstr>ALLOWANCE1!Print_Area</vt:lpstr>
      <vt:lpstr>ALLOWANCE2!Print_Area</vt:lpstr>
      <vt:lpstr>BI!Print_Area</vt:lpstr>
      <vt:lpstr>EXTDAT!Print_Area</vt:lpstr>
      <vt:lpstr>SI!Print_Area</vt:lpstr>
      <vt:lpstr>SUMMARY!Print_Area</vt:lpstr>
      <vt:lpstr>EXTDAT!Print_Titles</vt:lpstr>
      <vt:lpstr>ValidAllowanceDays11</vt:lpstr>
      <vt:lpstr>ValidAllowanceDays12</vt:lpstr>
      <vt:lpstr>ValidAllowanceDays13</vt:lpstr>
      <vt:lpstr>ValidAllowanceDays14</vt:lpstr>
      <vt:lpstr>ValidAllowanceDays15</vt:lpstr>
      <vt:lpstr>ValidAllowanceDays21</vt:lpstr>
      <vt:lpstr>ValidAllowanceDays22</vt:lpstr>
      <vt:lpstr>ValidAllowanceDays23</vt:lpstr>
      <vt:lpstr>ValidAllowanceDays24</vt:lpstr>
      <vt:lpstr>ValidAllowanceDays25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Traktamentsräkning 2023</dc:title>
  <dc:subject/>
  <dc:creator>Dennis Allert</dc:creator>
  <cp:keywords/>
  <dc:description>Denna dokumentmall är att betrakta som en programvara och får för annat än för utskrift endast användas av licensinnehavare för densamma._x000d_
_x000d_
Copyright DokuMera.</dc:description>
  <cp:lastModifiedBy>Anna Stark</cp:lastModifiedBy>
  <cp:lastPrinted>2014-12-19T13:33:18Z</cp:lastPrinted>
  <dcterms:created xsi:type="dcterms:W3CDTF">2000-05-24T11:14:29Z</dcterms:created>
  <dcterms:modified xsi:type="dcterms:W3CDTF">2023-01-26T10:20:43Z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Id">
    <vt:lpwstr>1189</vt:lpwstr>
  </property>
  <property fmtid="{D5CDD505-2E9C-101B-9397-08002B2CF9AE}" pid="3" name="DmVersion">
    <vt:lpwstr>1.52</vt:lpwstr>
  </property>
  <property fmtid="{D5CDD505-2E9C-101B-9397-08002B2CF9AE}" pid="4" name="DmVersionYear">
    <vt:lpwstr>2023</vt:lpwstr>
  </property>
  <property fmtid="{D5CDD505-2E9C-101B-9397-08002B2CF9AE}" pid="5" name="ContentTypeId">
    <vt:lpwstr>0x010100579DB37450C3464FA04947CDD82EDF28</vt:lpwstr>
  </property>
</Properties>
</file>